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" sheetId="4" r:id="rId4"/>
  </sheets>
  <externalReferences>
    <externalReference r:id="rId7"/>
  </externalReferences>
  <definedNames>
    <definedName name="_xlnm.Print_Area" localSheetId="0">'квітень'!$A$1:$X$109</definedName>
  </definedNames>
  <calcPr fullCalcOnLoad="1"/>
</workbook>
</file>

<file path=xl/sharedStrings.xml><?xml version="1.0" encoding="utf-8"?>
<sst xmlns="http://schemas.openxmlformats.org/spreadsheetml/2006/main" count="763" uniqueCount="191">
  <si>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</si>
  <si>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</si>
  <si>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</si>
  <si>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</si>
  <si>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</si>
  <si>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</si>
  <si>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</si>
  <si>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</si>
  <si>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</si>
  <si>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</si>
  <si>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</si>
  <si>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</si>
  <si>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</si>
  <si>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</si>
  <si>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</si>
  <si>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</si>
  <si>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</si>
  <si>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</si>
  <si>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</si>
  <si>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</si>
  <si>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</si>
  <si>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</si>
  <si>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</si>
  <si>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</si>
  <si>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</si>
  <si>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</si>
  <si>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</si>
  <si>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</si>
  <si>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</si>
  <si>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</si>
  <si>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</si>
  <si>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</si>
  <si>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</si>
  <si>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</si>
  <si>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</si>
  <si>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</si>
  <si>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</si>
  <si>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</si>
  <si>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</si>
  <si>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</si>
  <si>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</si>
  <si>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</si>
  <si>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</si>
  <si>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</si>
  <si>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</si>
  <si>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</si>
  <si>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</si>
  <si>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</si>
  <si>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>Надходження коштів пайової участі у розвитку інфраструктури населеного пункту</t>
  </si>
  <si>
    <t>Надходження коштів від Держ фонду дорогоцінних металів та дорогоцінного каміння</t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</si>
  <si>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</si>
  <si>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</si>
  <si>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</si>
  <si>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</si>
  <si>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</si>
  <si>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</si>
  <si>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</si>
  <si>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</si>
  <si>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</si>
  <si>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</si>
  <si>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</si>
  <si>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</si>
  <si>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</si>
  <si>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</si>
  <si>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</si>
  <si>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</si>
  <si>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</si>
  <si>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</si>
  <si>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</si>
  <si>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</si>
  <si>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</si>
  <si>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</si>
  <si>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</si>
  <si>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</si>
  <si>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</si>
  <si>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</si>
  <si>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</si>
  <si>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</si>
  <si>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</si>
  <si>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</si>
  <si>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</si>
  <si>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</si>
  <si>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</si>
  <si>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</si>
  <si>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</si>
  <si>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</si>
  <si>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</si>
  <si>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</si>
  <si>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</si>
  <si>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</si>
  <si>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</si>
  <si>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</si>
  <si>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</si>
  <si>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</si>
  <si>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</si>
  <si>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</si>
  <si>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</si>
  <si>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</si>
  <si>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</si>
  <si>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</si>
  <si>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</si>
  <si>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</si>
  <si>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</si>
  <si>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</si>
  <si>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</si>
  <si>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</si>
  <si>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</si>
  <si>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</si>
  <si>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</si>
  <si>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</si>
  <si>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</si>
  <si>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</si>
  <si>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</si>
  <si>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</si>
  <si>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</si>
  <si>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</si>
  <si>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</si>
  <si>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</si>
  <si>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</si>
  <si>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</si>
  <si>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</si>
  <si>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</si>
  <si>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Відхилення (+,-) до  плану на січень- 2018 року</t>
  </si>
  <si>
    <t>% виконання  плану на січень- 2018 року</t>
  </si>
  <si>
    <t>Виконано у січні</t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</si>
  <si>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</si>
  <si>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</si>
  <si>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</si>
  <si>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</si>
  <si>
    <t>Відхилення (+,-) до  плану на січень-лютий 2018 року</t>
  </si>
  <si>
    <t>% виконання  плану на січень- лютий2018 року</t>
  </si>
  <si>
    <t>План на 2018 рік</t>
  </si>
  <si>
    <t>Відхилення (+,-) до  плану на 2018 рік</t>
  </si>
  <si>
    <t>% виконання  плану за 2018 рік</t>
  </si>
  <si>
    <t>очікувані 2018</t>
  </si>
  <si>
    <t xml:space="preserve">Динаміка  очікуваних та затверджених надходжень  2018р. </t>
  </si>
  <si>
    <t>Виконано у лютому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</si>
  <si>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</si>
  <si>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</t>
  </si>
  <si>
    <t>План  на січень-лютий</t>
  </si>
  <si>
    <r>
      <rPr>
        <b/>
        <sz val="11"/>
        <rFont val="Times New Roman"/>
        <family val="1"/>
      </rPr>
      <t>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</si>
  <si>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</si>
  <si>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Довідково :</t>
  </si>
  <si>
    <t xml:space="preserve">              - до кінця місяця залишилось</t>
  </si>
  <si>
    <t>робочих днів</t>
  </si>
  <si>
    <t xml:space="preserve">    - для забезпечення виконання плану по доходах загального фонду щоденно необхідно отримувати </t>
  </si>
  <si>
    <t xml:space="preserve">              Фактично надійшло податків за останні 3 дні до загального фонду (тис.грн.) :</t>
  </si>
  <si>
    <t xml:space="preserve"> 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</si>
  <si>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</si>
  <si>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             </t>
  </si>
  <si>
    <t>ЦНАП</t>
  </si>
  <si>
    <t>Власні надходження бюджетних установ</t>
  </si>
  <si>
    <t>Всього доходів (без трансфертів)</t>
  </si>
  <si>
    <t>Офіційні трансферти  ЗФ</t>
  </si>
  <si>
    <t>Всього доходи з офіційними трансфертами</t>
  </si>
  <si>
    <t>ВСІ інші  податки і збори</t>
  </si>
  <si>
    <t>Рентна плата за спеціальне використання лісових ресурсів</t>
  </si>
  <si>
    <t>Рентна плата за користування надрами для видобування корисних копалин місцевого значення</t>
  </si>
  <si>
    <t>плата за надання адмінпослуг (220100)</t>
  </si>
  <si>
    <t>інші надходження (24060000)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</si>
  <si>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</si>
  <si>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д/м    </t>
    </r>
    <r>
      <rPr>
        <b/>
        <i/>
        <sz val="12"/>
        <rFont val="Times New Roman"/>
        <family val="1"/>
      </rPr>
      <t>паспорти Укр, посвідки на проживання</t>
    </r>
  </si>
  <si>
    <t>податки, що контролюються ДПІ (ЗФ+СФ)</t>
  </si>
  <si>
    <t>податки, що контролюються ЧМР   (ЗФ+СФ)</t>
  </si>
  <si>
    <t>податки, що контролюються іншими органами (ЗФ+СФ)</t>
  </si>
  <si>
    <t>ВСЬОГО   (ЗФ+СФ)</t>
  </si>
  <si>
    <t>Офіційні трансферти  СФ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</si>
  <si>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2018 та 2017 років</t>
    </r>
  </si>
  <si>
    <r>
      <t xml:space="preserve">Динаміка 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</si>
  <si>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r>
      <rPr>
        <b/>
        <i/>
        <sz val="10"/>
        <rFont val="Arial Cyr"/>
        <family val="0"/>
      </rPr>
      <t>Освітня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</si>
  <si>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i/>
        <sz val="10"/>
        <rFont val="Arial Cyr"/>
        <family val="0"/>
      </rPr>
      <t>Медична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</si>
  <si>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</si>
  <si>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</si>
  <si>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січень-березень</t>
  </si>
  <si>
    <t>Відхилення (+,-) до  плану на січень-березень 2018 року</t>
  </si>
  <si>
    <t>% виконання  плану на січень- березень 2018 року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</si>
  <si>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2018 та 2017 років</t>
    </r>
  </si>
  <si>
    <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</si>
  <si>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</si>
  <si>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Уточнений план на 2018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</si>
  <si>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</si>
  <si>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30.03.18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</si>
  <si>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січень-квітень</t>
  </si>
  <si>
    <t>Відхилення (+,-) до  плану на січень-квітень 2018 року</t>
  </si>
  <si>
    <t>% виконання  плану на січень- квітень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</si>
  <si>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</si>
  <si>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t>Виконано у квітні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</si>
  <si>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2018 та 2017 років</t>
    </r>
  </si>
  <si>
    <t>ж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</si>
  <si>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18.04.2018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</si>
  <si>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17.04.18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</si>
</sst>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1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25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69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24" fillId="0" borderId="0">
      <alignment/>
      <protection/>
    </xf>
    <xf numFmtId="0" fontId="8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397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0" borderId="0" xfId="55" applyFont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182" fontId="16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28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0" fillId="0" borderId="10" xfId="55" applyFont="1" applyBorder="1" applyAlignment="1" applyProtection="1">
      <alignment vertical="center"/>
      <protection/>
    </xf>
    <xf numFmtId="182" fontId="31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Border="1" applyAlignment="1" applyProtection="1">
      <alignment/>
      <protection/>
    </xf>
    <xf numFmtId="182" fontId="86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0" applyNumberFormat="1" applyFont="1" applyFill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0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6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2" fillId="0" borderId="10" xfId="0" applyNumberFormat="1" applyFont="1" applyFill="1" applyBorder="1" applyAlignment="1" applyProtection="1">
      <alignment/>
      <protection/>
    </xf>
    <xf numFmtId="191" fontId="31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7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0" borderId="10" xfId="0" applyNumberFormat="1" applyFont="1" applyBorder="1" applyAlignment="1" applyProtection="1">
      <alignment/>
      <protection/>
    </xf>
    <xf numFmtId="191" fontId="86" fillId="0" borderId="10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39" borderId="10" xfId="0" applyNumberFormat="1" applyFont="1" applyFill="1" applyBorder="1" applyAlignment="1" applyProtection="1">
      <alignment/>
      <protection/>
    </xf>
    <xf numFmtId="191" fontId="3" fillId="39" borderId="10" xfId="0" applyNumberFormat="1" applyFont="1" applyFill="1" applyBorder="1" applyAlignment="1" applyProtection="1">
      <alignment/>
      <protection/>
    </xf>
    <xf numFmtId="182" fontId="86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10" fillId="39" borderId="10" xfId="55" applyFont="1" applyFill="1" applyBorder="1" applyProtection="1">
      <alignment/>
      <protection/>
    </xf>
    <xf numFmtId="182" fontId="3" fillId="39" borderId="10" xfId="55" applyNumberFormat="1" applyFont="1" applyFill="1" applyBorder="1" applyProtection="1">
      <alignment/>
      <protection/>
    </xf>
    <xf numFmtId="182" fontId="3" fillId="39" borderId="1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0" applyFont="1" applyFill="1" applyBorder="1" applyAlignment="1">
      <alignment wrapText="1"/>
    </xf>
    <xf numFmtId="0" fontId="7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182" fontId="33" fillId="0" borderId="10" xfId="0" applyNumberFormat="1" applyFont="1" applyBorder="1" applyAlignment="1" applyProtection="1">
      <alignment/>
      <protection/>
    </xf>
    <xf numFmtId="191" fontId="33" fillId="0" borderId="10" xfId="0" applyNumberFormat="1" applyFont="1" applyBorder="1" applyAlignment="1" applyProtection="1">
      <alignment/>
      <protection/>
    </xf>
    <xf numFmtId="0" fontId="32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2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39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88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0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0" fontId="7" fillId="0" borderId="0" xfId="55" applyFont="1" applyFill="1" applyBorder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28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vertical="center"/>
      <protection/>
    </xf>
    <xf numFmtId="4" fontId="30" fillId="37" borderId="10" xfId="55" applyNumberFormat="1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right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23" fillId="0" borderId="10" xfId="0" applyNumberFormat="1" applyFont="1" applyFill="1" applyBorder="1" applyAlignment="1" applyProtection="1">
      <alignment/>
      <protection/>
    </xf>
    <xf numFmtId="4" fontId="10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28" fillId="37" borderId="10" xfId="55" applyNumberFormat="1" applyFont="1" applyFill="1" applyBorder="1" applyAlignment="1" applyProtection="1">
      <alignment vertical="center"/>
      <protection/>
    </xf>
    <xf numFmtId="4" fontId="17" fillId="0" borderId="10" xfId="55" applyNumberFormat="1" applyFont="1" applyBorder="1" applyAlignment="1" applyProtection="1">
      <alignment vertical="center"/>
      <protection/>
    </xf>
    <xf numFmtId="4" fontId="9" fillId="37" borderId="10" xfId="55" applyNumberFormat="1" applyFont="1" applyFill="1" applyBorder="1" applyAlignment="1" applyProtection="1">
      <alignment vertical="center"/>
      <protection/>
    </xf>
    <xf numFmtId="182" fontId="3" fillId="0" borderId="0" xfId="55" applyNumberFormat="1" applyFont="1" applyAlignment="1" applyProtection="1">
      <alignment horizontal="center"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9" fillId="0" borderId="10" xfId="55" applyNumberFormat="1" applyFont="1" applyBorder="1" applyAlignment="1" applyProtection="1">
      <alignment/>
      <protection/>
    </xf>
    <xf numFmtId="4" fontId="9" fillId="0" borderId="10" xfId="55" applyNumberFormat="1" applyFont="1" applyBorder="1" applyAlignment="1" applyProtection="1">
      <alignment horizontal="right"/>
      <protection/>
    </xf>
    <xf numFmtId="182" fontId="6" fillId="39" borderId="10" xfId="55" applyNumberFormat="1" applyFont="1" applyFill="1" applyBorder="1" applyProtection="1">
      <alignment/>
      <protection/>
    </xf>
    <xf numFmtId="182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right" vertical="center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center" vertical="center"/>
      <protection/>
    </xf>
    <xf numFmtId="4" fontId="9" fillId="0" borderId="10" xfId="55" applyNumberFormat="1" applyFont="1" applyFill="1" applyBorder="1" applyAlignment="1" applyProtection="1">
      <alignment/>
      <protection/>
    </xf>
    <xf numFmtId="4" fontId="9" fillId="0" borderId="15" xfId="0" applyNumberFormat="1" applyFont="1" applyBorder="1" applyAlignment="1">
      <alignment/>
    </xf>
    <xf numFmtId="4" fontId="32" fillId="0" borderId="10" xfId="55" applyNumberFormat="1" applyFont="1" applyBorder="1" applyAlignment="1" applyProtection="1">
      <alignment vertical="center"/>
      <protection/>
    </xf>
    <xf numFmtId="0" fontId="6" fillId="0" borderId="0" xfId="55" applyFo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left" wrapText="1"/>
      <protection/>
    </xf>
    <xf numFmtId="182" fontId="7" fillId="0" borderId="0" xfId="55" applyNumberFormat="1" applyFont="1" applyProtection="1">
      <alignment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wrapText="1"/>
      <protection/>
    </xf>
    <xf numFmtId="1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right"/>
      <protection/>
    </xf>
    <xf numFmtId="4" fontId="7" fillId="0" borderId="0" xfId="55" applyNumberFormat="1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7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Border="1" applyAlignment="1" applyProtection="1">
      <alignment horizontal="right"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91" fontId="7" fillId="0" borderId="0" xfId="55" applyNumberFormat="1" applyFont="1" applyBorder="1" applyProtection="1">
      <alignment/>
      <protection/>
    </xf>
    <xf numFmtId="182" fontId="43" fillId="0" borderId="0" xfId="0" applyNumberFormat="1" applyFont="1" applyFill="1" applyBorder="1" applyAlignment="1">
      <alignment horizontal="center"/>
    </xf>
    <xf numFmtId="0" fontId="7" fillId="0" borderId="0" xfId="55" applyFont="1" applyAlignment="1" applyProtection="1">
      <alignment horizontal="left"/>
      <protection/>
    </xf>
    <xf numFmtId="0" fontId="89" fillId="38" borderId="0" xfId="55" applyFont="1" applyFill="1" applyAlignment="1" applyProtection="1">
      <alignment horizontal="center"/>
      <protection/>
    </xf>
    <xf numFmtId="182" fontId="7" fillId="38" borderId="0" xfId="55" applyNumberFormat="1" applyFont="1" applyFill="1" applyBorder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82" fontId="2" fillId="0" borderId="0" xfId="0" applyNumberFormat="1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44" fillId="0" borderId="10" xfId="0" applyFont="1" applyBorder="1" applyAlignment="1">
      <alignment wrapText="1"/>
    </xf>
    <xf numFmtId="0" fontId="0" fillId="0" borderId="10" xfId="0" applyBorder="1" applyAlignment="1">
      <alignment/>
    </xf>
    <xf numFmtId="182" fontId="45" fillId="0" borderId="10" xfId="0" applyNumberFormat="1" applyFont="1" applyBorder="1" applyAlignment="1">
      <alignment/>
    </xf>
    <xf numFmtId="0" fontId="3" fillId="41" borderId="10" xfId="55" applyFont="1" applyFill="1" applyBorder="1" applyProtection="1">
      <alignment/>
      <protection/>
    </xf>
    <xf numFmtId="192" fontId="90" fillId="41" borderId="10" xfId="0" applyNumberFormat="1" applyFont="1" applyFill="1" applyBorder="1" applyAlignment="1">
      <alignment/>
    </xf>
    <xf numFmtId="182" fontId="90" fillId="41" borderId="10" xfId="0" applyNumberFormat="1" applyFont="1" applyFill="1" applyBorder="1" applyAlignment="1">
      <alignment/>
    </xf>
    <xf numFmtId="0" fontId="89" fillId="0" borderId="0" xfId="55" applyFont="1" applyFill="1" applyAlignment="1" applyProtection="1">
      <alignment horizontal="center"/>
      <protection/>
    </xf>
    <xf numFmtId="0" fontId="7" fillId="42" borderId="10" xfId="55" applyFont="1" applyFill="1" applyBorder="1" applyAlignment="1" applyProtection="1">
      <alignment horizontal="left" vertical="center" wrapText="1"/>
      <protection/>
    </xf>
    <xf numFmtId="0" fontId="6" fillId="0" borderId="10" xfId="55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0" fontId="7" fillId="42" borderId="10" xfId="55" applyFont="1" applyFill="1" applyBorder="1" applyAlignment="1" applyProtection="1">
      <alignment vertical="center" wrapText="1"/>
      <protection/>
    </xf>
    <xf numFmtId="0" fontId="7" fillId="42" borderId="14" xfId="55" applyFont="1" applyFill="1" applyBorder="1" applyAlignment="1" applyProtection="1">
      <alignment horizontal="left" vertical="center" wrapText="1"/>
      <protection/>
    </xf>
    <xf numFmtId="0" fontId="6" fillId="0" borderId="14" xfId="55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vertical="center" wrapText="1"/>
      <protection/>
    </xf>
    <xf numFmtId="182" fontId="7" fillId="37" borderId="14" xfId="55" applyNumberFormat="1" applyFont="1" applyFill="1" applyBorder="1" applyAlignment="1" applyProtection="1">
      <alignment vertical="center" wrapText="1"/>
      <protection/>
    </xf>
    <xf numFmtId="0" fontId="7" fillId="42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wrapText="1"/>
    </xf>
    <xf numFmtId="182" fontId="7" fillId="37" borderId="14" xfId="0" applyNumberFormat="1" applyFont="1" applyFill="1" applyBorder="1" applyAlignment="1">
      <alignment wrapText="1"/>
    </xf>
    <xf numFmtId="0" fontId="7" fillId="42" borderId="10" xfId="55" applyFont="1" applyFill="1" applyBorder="1" applyAlignment="1" applyProtection="1">
      <alignment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6" fillId="0" borderId="0" xfId="55" applyNumberFormat="1" applyFont="1" applyAlignment="1" applyProtection="1">
      <alignment horizontal="center"/>
      <protection/>
    </xf>
    <xf numFmtId="0" fontId="89" fillId="0" borderId="0" xfId="55" applyFont="1" applyAlignment="1" applyProtection="1">
      <alignment horizontal="center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6" fillId="0" borderId="10" xfId="55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0" fontId="7" fillId="37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>
      <alignment wrapText="1"/>
    </xf>
    <xf numFmtId="191" fontId="7" fillId="0" borderId="10" xfId="0" applyNumberFormat="1" applyFont="1" applyFill="1" applyBorder="1" applyAlignment="1">
      <alignment wrapText="1"/>
    </xf>
    <xf numFmtId="0" fontId="6" fillId="0" borderId="0" xfId="55" applyFont="1" applyProtection="1">
      <alignment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89" fillId="0" borderId="10" xfId="55" applyFont="1" applyFill="1" applyBorder="1" applyAlignment="1" applyProtection="1">
      <alignment horizontal="right" vertical="center" wrapText="1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Border="1" applyProtection="1">
      <alignment/>
      <protection/>
    </xf>
    <xf numFmtId="182" fontId="7" fillId="37" borderId="0" xfId="55" applyNumberFormat="1" applyFont="1" applyFill="1" applyBorder="1" applyProtection="1">
      <alignment/>
      <protection/>
    </xf>
    <xf numFmtId="191" fontId="7" fillId="0" borderId="0" xfId="55" applyNumberFormat="1" applyFont="1" applyFill="1" applyBorder="1" applyProtection="1">
      <alignment/>
      <protection/>
    </xf>
    <xf numFmtId="4" fontId="7" fillId="38" borderId="0" xfId="55" applyNumberFormat="1" applyFont="1" applyFill="1" applyProtection="1">
      <alignment/>
      <protection/>
    </xf>
    <xf numFmtId="0" fontId="23" fillId="0" borderId="0" xfId="55" applyFont="1" applyProtection="1">
      <alignment/>
      <protection/>
    </xf>
    <xf numFmtId="182" fontId="6" fillId="0" borderId="0" xfId="55" applyNumberFormat="1" applyFont="1" applyProtection="1">
      <alignment/>
      <protection/>
    </xf>
    <xf numFmtId="182" fontId="6" fillId="37" borderId="0" xfId="55" applyNumberFormat="1" applyFont="1" applyFill="1" applyProtection="1">
      <alignment/>
      <protection/>
    </xf>
    <xf numFmtId="191" fontId="6" fillId="0" borderId="0" xfId="55" applyNumberFormat="1" applyFont="1" applyProtection="1">
      <alignment/>
      <protection/>
    </xf>
    <xf numFmtId="191" fontId="7" fillId="0" borderId="14" xfId="55" applyNumberFormat="1" applyFont="1" applyFill="1" applyBorder="1" applyAlignment="1" applyProtection="1">
      <alignment vertical="center" wrapText="1"/>
      <protection/>
    </xf>
    <xf numFmtId="191" fontId="7" fillId="0" borderId="14" xfId="0" applyNumberFormat="1" applyFont="1" applyFill="1" applyBorder="1" applyAlignment="1">
      <alignment wrapText="1"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191" fontId="7" fillId="0" borderId="10" xfId="0" applyNumberFormat="1" applyFont="1" applyFill="1" applyBorder="1" applyAlignment="1">
      <alignment wrapText="1"/>
    </xf>
    <xf numFmtId="191" fontId="7" fillId="0" borderId="0" xfId="55" applyNumberFormat="1" applyFont="1" applyAlignment="1" applyProtection="1">
      <alignment horizontal="center"/>
      <protection/>
    </xf>
    <xf numFmtId="191" fontId="3" fillId="34" borderId="10" xfId="55" applyNumberFormat="1" applyFont="1" applyFill="1" applyBorder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90" fillId="41" borderId="10" xfId="0" applyNumberFormat="1" applyFont="1" applyFill="1" applyBorder="1" applyAlignment="1">
      <alignment/>
    </xf>
    <xf numFmtId="0" fontId="48" fillId="0" borderId="10" xfId="0" applyFont="1" applyBorder="1" applyAlignment="1">
      <alignment wrapText="1"/>
    </xf>
    <xf numFmtId="0" fontId="48" fillId="0" borderId="10" xfId="0" applyFont="1" applyBorder="1" applyAlignment="1">
      <alignment/>
    </xf>
    <xf numFmtId="182" fontId="50" fillId="0" borderId="10" xfId="0" applyNumberFormat="1" applyFont="1" applyBorder="1" applyAlignment="1">
      <alignment/>
    </xf>
    <xf numFmtId="182" fontId="50" fillId="0" borderId="10" xfId="0" applyNumberFormat="1" applyFont="1" applyFill="1" applyBorder="1" applyAlignment="1">
      <alignment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23" fillId="39" borderId="10" xfId="55" applyFont="1" applyFill="1" applyBorder="1" applyProtection="1">
      <alignment/>
      <protection/>
    </xf>
    <xf numFmtId="0" fontId="3" fillId="39" borderId="10" xfId="55" applyFont="1" applyFill="1" applyBorder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 horizontal="right"/>
      <protection/>
    </xf>
    <xf numFmtId="182" fontId="2" fillId="44" borderId="10" xfId="55" applyNumberFormat="1" applyFont="1" applyFill="1" applyBorder="1" applyProtection="1">
      <alignment/>
      <protection/>
    </xf>
    <xf numFmtId="182" fontId="2" fillId="44" borderId="10" xfId="0" applyNumberFormat="1" applyFont="1" applyFill="1" applyBorder="1" applyAlignment="1" applyProtection="1">
      <alignment horizontal="right"/>
      <protection/>
    </xf>
    <xf numFmtId="182" fontId="45" fillId="44" borderId="10" xfId="0" applyNumberFormat="1" applyFont="1" applyFill="1" applyBorder="1" applyAlignment="1">
      <alignment/>
    </xf>
    <xf numFmtId="182" fontId="6" fillId="37" borderId="0" xfId="55" applyNumberFormat="1" applyFont="1" applyFill="1" applyAlignment="1" applyProtection="1">
      <alignment horizontal="center"/>
      <protection/>
    </xf>
    <xf numFmtId="0" fontId="7" fillId="45" borderId="10" xfId="55" applyFont="1" applyFill="1" applyBorder="1" applyAlignment="1" applyProtection="1">
      <alignment vertical="center" wrapText="1"/>
      <protection/>
    </xf>
    <xf numFmtId="0" fontId="7" fillId="45" borderId="10" xfId="0" applyFont="1" applyFill="1" applyBorder="1" applyAlignment="1">
      <alignment wrapText="1"/>
    </xf>
    <xf numFmtId="191" fontId="33" fillId="0" borderId="0" xfId="0" applyNumberFormat="1" applyFont="1" applyAlignment="1" applyProtection="1">
      <alignment horizontal="center"/>
      <protection/>
    </xf>
    <xf numFmtId="191" fontId="2" fillId="0" borderId="0" xfId="0" applyNumberFormat="1" applyFont="1" applyAlignment="1" applyProtection="1">
      <alignment horizontal="center"/>
      <protection/>
    </xf>
    <xf numFmtId="0" fontId="12" fillId="0" borderId="0" xfId="55" applyFont="1" applyAlignment="1" applyProtection="1">
      <alignment horizontal="center"/>
      <protection/>
    </xf>
    <xf numFmtId="0" fontId="87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18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23" fillId="13" borderId="18" xfId="55" applyFont="1" applyFill="1" applyBorder="1" applyAlignment="1" applyProtection="1">
      <alignment horizontal="center" vertical="center" wrapText="1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23" fillId="0" borderId="20" xfId="55" applyFont="1" applyFill="1" applyBorder="1" applyAlignment="1" applyProtection="1">
      <alignment horizontal="center" vertical="center" wrapText="1"/>
      <protection/>
    </xf>
    <xf numFmtId="0" fontId="23" fillId="0" borderId="21" xfId="55" applyFont="1" applyFill="1" applyBorder="1" applyAlignment="1" applyProtection="1">
      <alignment horizontal="center" vertical="center" wrapText="1"/>
      <protection/>
    </xf>
    <xf numFmtId="0" fontId="35" fillId="37" borderId="19" xfId="55" applyFont="1" applyFill="1" applyBorder="1" applyAlignment="1" applyProtection="1">
      <alignment horizontal="center" vertical="center" wrapText="1"/>
      <protection/>
    </xf>
    <xf numFmtId="0" fontId="35" fillId="37" borderId="20" xfId="55" applyFont="1" applyFill="1" applyBorder="1" applyAlignment="1" applyProtection="1">
      <alignment horizontal="center" vertical="center" wrapText="1"/>
      <protection/>
    </xf>
    <xf numFmtId="0" fontId="35" fillId="37" borderId="21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1" fillId="0" borderId="0" xfId="55" applyFont="1" applyAlignment="1" applyProtection="1">
      <alignment horizontal="center"/>
      <protection/>
    </xf>
    <xf numFmtId="0" fontId="41" fillId="0" borderId="0" xfId="55" applyFont="1" applyBorder="1" applyAlignment="1" applyProtection="1">
      <alignment horizontal="center"/>
      <protection/>
    </xf>
    <xf numFmtId="0" fontId="35" fillId="0" borderId="19" xfId="55" applyFont="1" applyFill="1" applyBorder="1" applyAlignment="1" applyProtection="1">
      <alignment horizontal="center" vertical="center" wrapText="1"/>
      <protection/>
    </xf>
    <xf numFmtId="0" fontId="35" fillId="0" borderId="20" xfId="55" applyFont="1" applyFill="1" applyBorder="1" applyAlignment="1" applyProtection="1">
      <alignment horizontal="center" vertical="center" wrapText="1"/>
      <protection/>
    </xf>
    <xf numFmtId="0" fontId="35" fillId="0" borderId="21" xfId="55" applyFont="1" applyFill="1" applyBorder="1" applyAlignment="1" applyProtection="1">
      <alignment horizontal="center" vertical="center" wrapText="1"/>
      <protection/>
    </xf>
    <xf numFmtId="49" fontId="4" fillId="33" borderId="18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22-сф"/>
      <sheetName val="7490-сф"/>
      <sheetName val="220804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110202"/>
      <sheetName val="210103"/>
      <sheetName val="220102-сертиф"/>
      <sheetName val="2105"/>
      <sheetName val="24619"/>
      <sheetName val="пайова 2013-2015 10 міс"/>
      <sheetName val="1102 и210103"/>
      <sheetName val="Фонтан Сіті"/>
      <sheetName val="ЧТКЕ"/>
      <sheetName val="Лист5"/>
      <sheetName val="Лист4"/>
      <sheetName val="8842-сф"/>
      <sheetName val="Лист8"/>
      <sheetName val="%% СФ"/>
      <sheetName val="210811-3"/>
      <sheetName val="210815"/>
      <sheetName val="240619"/>
    </sheetNames>
    <sheetDataSet>
      <sheetData sheetId="21">
        <row r="6">
          <cell r="G6">
            <v>1882.91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161"/>
  <sheetViews>
    <sheetView tabSelected="1" zoomScale="72" zoomScaleNormal="72" zoomScalePageLayoutView="0" workbookViewId="0" topLeftCell="B1">
      <pane xSplit="3" ySplit="8" topLeftCell="E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E109" sqref="E10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356" t="s">
        <v>189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186"/>
    </row>
    <row r="2" spans="2:25" s="1" customFormat="1" ht="15.75" customHeight="1">
      <c r="B2" s="357"/>
      <c r="C2" s="357"/>
      <c r="D2" s="357"/>
      <c r="E2" s="357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58"/>
      <c r="B3" s="360"/>
      <c r="C3" s="361" t="s">
        <v>0</v>
      </c>
      <c r="D3" s="362" t="s">
        <v>131</v>
      </c>
      <c r="E3" s="362" t="s">
        <v>179</v>
      </c>
      <c r="F3" s="25"/>
      <c r="G3" s="363" t="s">
        <v>26</v>
      </c>
      <c r="H3" s="364"/>
      <c r="I3" s="364"/>
      <c r="J3" s="364"/>
      <c r="K3" s="365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66" t="s">
        <v>185</v>
      </c>
      <c r="V3" s="369" t="s">
        <v>186</v>
      </c>
      <c r="W3" s="369"/>
      <c r="X3" s="369"/>
      <c r="Y3" s="194"/>
    </row>
    <row r="4" spans="1:24" ht="22.5" customHeight="1">
      <c r="A4" s="358"/>
      <c r="B4" s="360"/>
      <c r="C4" s="361"/>
      <c r="D4" s="362"/>
      <c r="E4" s="362"/>
      <c r="F4" s="370" t="s">
        <v>182</v>
      </c>
      <c r="G4" s="372" t="s">
        <v>31</v>
      </c>
      <c r="H4" s="374" t="s">
        <v>183</v>
      </c>
      <c r="I4" s="367" t="s">
        <v>184</v>
      </c>
      <c r="J4" s="374" t="s">
        <v>132</v>
      </c>
      <c r="K4" s="367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367"/>
      <c r="V4" s="376" t="s">
        <v>190</v>
      </c>
      <c r="W4" s="374" t="s">
        <v>44</v>
      </c>
      <c r="X4" s="378" t="s">
        <v>43</v>
      </c>
    </row>
    <row r="5" spans="1:24" ht="67.5" customHeight="1">
      <c r="A5" s="359"/>
      <c r="B5" s="360"/>
      <c r="C5" s="361"/>
      <c r="D5" s="362"/>
      <c r="E5" s="362"/>
      <c r="F5" s="371"/>
      <c r="G5" s="373"/>
      <c r="H5" s="375"/>
      <c r="I5" s="368"/>
      <c r="J5" s="375"/>
      <c r="K5" s="368"/>
      <c r="L5" s="379" t="s">
        <v>135</v>
      </c>
      <c r="M5" s="380"/>
      <c r="N5" s="381"/>
      <c r="O5" s="382" t="s">
        <v>168</v>
      </c>
      <c r="P5" s="383"/>
      <c r="Q5" s="384"/>
      <c r="R5" s="385" t="s">
        <v>187</v>
      </c>
      <c r="S5" s="385"/>
      <c r="T5" s="385"/>
      <c r="U5" s="368"/>
      <c r="V5" s="377"/>
      <c r="W5" s="375"/>
      <c r="X5" s="37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487888.34</v>
      </c>
      <c r="G8" s="103">
        <f>G9+G15+G18+G19+G23+G17</f>
        <v>427737.64999999997</v>
      </c>
      <c r="H8" s="103">
        <f>G8-F8</f>
        <v>-60150.69000000006</v>
      </c>
      <c r="I8" s="210">
        <f aca="true" t="shared" si="0" ref="I8:I15">G8/F8</f>
        <v>0.8767121796761939</v>
      </c>
      <c r="J8" s="104">
        <f aca="true" t="shared" si="1" ref="J8:J52">G8-E8</f>
        <v>-1152896.1500000001</v>
      </c>
      <c r="K8" s="156">
        <f aca="true" t="shared" si="2" ref="K8:K14">G8/E8</f>
        <v>0.2706114787625065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400312.26</v>
      </c>
      <c r="S8" s="103">
        <f aca="true" t="shared" si="5" ref="S8:S78">G8-R8</f>
        <v>27425.389999999956</v>
      </c>
      <c r="T8" s="143">
        <f aca="true" t="shared" si="6" ref="T8:T20">G8/R8</f>
        <v>1.0685099926742188</v>
      </c>
      <c r="U8" s="103">
        <f>U9+U15+U18+U19+U23+U17</f>
        <v>126345.40100000001</v>
      </c>
      <c r="V8" s="103">
        <f>V9+V15+V18+V19+V23+V17</f>
        <v>60619.54999999999</v>
      </c>
      <c r="W8" s="103">
        <f>V8-U8</f>
        <v>-65725.85100000002</v>
      </c>
      <c r="X8" s="143">
        <f aca="true" t="shared" si="7" ref="X8:X15">V8/U8</f>
        <v>0.47979229572432147</v>
      </c>
      <c r="Y8" s="199">
        <f aca="true" t="shared" si="8" ref="Y8:Y22">T8-Q8</f>
        <v>-0.12030641885691229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v>283716.14</v>
      </c>
      <c r="G9" s="106">
        <v>258810.52</v>
      </c>
      <c r="H9" s="102">
        <f>G9-F9</f>
        <v>-24905.620000000024</v>
      </c>
      <c r="I9" s="208">
        <f t="shared" si="0"/>
        <v>0.9122164146177936</v>
      </c>
      <c r="J9" s="108">
        <f t="shared" si="1"/>
        <v>-697392.48</v>
      </c>
      <c r="K9" s="148">
        <f t="shared" si="2"/>
        <v>0.27066482744772813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15">
        <v>223096.1</v>
      </c>
      <c r="S9" s="109">
        <f t="shared" si="5"/>
        <v>35714.419999999984</v>
      </c>
      <c r="T9" s="144">
        <f t="shared" si="6"/>
        <v>1.1600853623169567</v>
      </c>
      <c r="U9" s="107">
        <f>F9-березень!F9</f>
        <v>74519.801</v>
      </c>
      <c r="V9" s="110">
        <f>G9-березень!G9</f>
        <v>40014.98999999999</v>
      </c>
      <c r="W9" s="111">
        <f>V9-U9</f>
        <v>-34504.811000000016</v>
      </c>
      <c r="X9" s="148">
        <f t="shared" si="7"/>
        <v>0.5369712407041987</v>
      </c>
      <c r="Y9" s="200">
        <f t="shared" si="8"/>
        <v>-0.07241802957020083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v>262178.7</v>
      </c>
      <c r="G10" s="94">
        <v>237608.7</v>
      </c>
      <c r="H10" s="71">
        <f aca="true" t="shared" si="9" ref="H10:H47">G10-F10</f>
        <v>-24570</v>
      </c>
      <c r="I10" s="209">
        <f t="shared" si="0"/>
        <v>0.9062852931988754</v>
      </c>
      <c r="J10" s="72">
        <f t="shared" si="1"/>
        <v>-644194.3</v>
      </c>
      <c r="K10" s="75">
        <f t="shared" si="2"/>
        <v>0.26945780406734837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204365.86</v>
      </c>
      <c r="S10" s="74">
        <f t="shared" si="5"/>
        <v>33242.840000000026</v>
      </c>
      <c r="T10" s="145">
        <f t="shared" si="6"/>
        <v>1.1626633724439104</v>
      </c>
      <c r="U10" s="73">
        <f>F10-березень!F10</f>
        <v>69300</v>
      </c>
      <c r="V10" s="98">
        <f>G10-березень!G10</f>
        <v>37773.81</v>
      </c>
      <c r="W10" s="74">
        <f aca="true" t="shared" si="10" ref="W10:W52">V10-U10</f>
        <v>-31526.190000000002</v>
      </c>
      <c r="X10" s="75">
        <f t="shared" si="7"/>
        <v>0.5450766233766233</v>
      </c>
      <c r="Y10" s="198">
        <f t="shared" si="8"/>
        <v>-0.0794880721790805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14534.7</v>
      </c>
      <c r="G11" s="94">
        <v>13504.01</v>
      </c>
      <c r="H11" s="71">
        <f t="shared" si="9"/>
        <v>-1030.6900000000005</v>
      </c>
      <c r="I11" s="209">
        <f t="shared" si="0"/>
        <v>0.9290876316676643</v>
      </c>
      <c r="J11" s="72">
        <f t="shared" si="1"/>
        <v>-36395.99</v>
      </c>
      <c r="K11" s="75">
        <f t="shared" si="2"/>
        <v>0.27062144288577156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12429.15</v>
      </c>
      <c r="S11" s="74">
        <f t="shared" si="5"/>
        <v>1074.8600000000006</v>
      </c>
      <c r="T11" s="145">
        <f t="shared" si="6"/>
        <v>1.086478962760929</v>
      </c>
      <c r="U11" s="73">
        <f>F11-березень!F11</f>
        <v>3780</v>
      </c>
      <c r="V11" s="98">
        <f>G11-березень!G11</f>
        <v>1480.8199999999997</v>
      </c>
      <c r="W11" s="74">
        <f t="shared" si="10"/>
        <v>-2299.1800000000003</v>
      </c>
      <c r="X11" s="75">
        <f t="shared" si="7"/>
        <v>0.3917513227513227</v>
      </c>
      <c r="Y11" s="198">
        <f t="shared" si="8"/>
        <v>-0.08718551173256639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3144.41</v>
      </c>
      <c r="G12" s="94">
        <v>3640.38</v>
      </c>
      <c r="H12" s="71">
        <f t="shared" si="9"/>
        <v>495.97000000000025</v>
      </c>
      <c r="I12" s="209">
        <f t="shared" si="0"/>
        <v>1.1577307030571713</v>
      </c>
      <c r="J12" s="72">
        <f t="shared" si="1"/>
        <v>-8359.619999999999</v>
      </c>
      <c r="K12" s="75">
        <f t="shared" si="2"/>
        <v>0.303365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2609.59</v>
      </c>
      <c r="S12" s="74">
        <f t="shared" si="5"/>
        <v>1030.79</v>
      </c>
      <c r="T12" s="145">
        <f t="shared" si="6"/>
        <v>1.39500074724382</v>
      </c>
      <c r="U12" s="73">
        <f>F12-березень!F12</f>
        <v>850.0009999999997</v>
      </c>
      <c r="V12" s="98">
        <f>G12-березень!G12</f>
        <v>361.23</v>
      </c>
      <c r="W12" s="74">
        <f t="shared" si="10"/>
        <v>-488.77099999999973</v>
      </c>
      <c r="X12" s="75">
        <f t="shared" si="7"/>
        <v>0.4249759706165053</v>
      </c>
      <c r="Y12" s="198">
        <f t="shared" si="8"/>
        <v>0.3943461523630021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3613.7</v>
      </c>
      <c r="G13" s="94">
        <v>3749.82</v>
      </c>
      <c r="H13" s="71">
        <f t="shared" si="9"/>
        <v>136.12000000000035</v>
      </c>
      <c r="I13" s="209">
        <f t="shared" si="0"/>
        <v>1.037667764341257</v>
      </c>
      <c r="J13" s="72">
        <f t="shared" si="1"/>
        <v>-8250.18</v>
      </c>
      <c r="K13" s="75">
        <f t="shared" si="2"/>
        <v>0.312485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3209.33</v>
      </c>
      <c r="S13" s="74">
        <f t="shared" si="5"/>
        <v>540.4900000000002</v>
      </c>
      <c r="T13" s="145">
        <f t="shared" si="6"/>
        <v>1.1684120984753827</v>
      </c>
      <c r="U13" s="73">
        <f>F13-березень!F13</f>
        <v>556.7999999999997</v>
      </c>
      <c r="V13" s="98">
        <f>G13-березень!G13</f>
        <v>399.1400000000003</v>
      </c>
      <c r="W13" s="74">
        <f t="shared" si="10"/>
        <v>-157.6599999999994</v>
      </c>
      <c r="X13" s="75">
        <f t="shared" si="7"/>
        <v>0.7168462643678171</v>
      </c>
      <c r="Y13" s="198">
        <f t="shared" si="8"/>
        <v>-0.027186901605320335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244.63</v>
      </c>
      <c r="G14" s="94">
        <v>307.62</v>
      </c>
      <c r="H14" s="71">
        <f t="shared" si="9"/>
        <v>62.99000000000001</v>
      </c>
      <c r="I14" s="209">
        <f t="shared" si="0"/>
        <v>1.2574909046314844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482.17</v>
      </c>
      <c r="S14" s="74">
        <f t="shared" si="5"/>
        <v>-174.55</v>
      </c>
      <c r="T14" s="145">
        <f t="shared" si="6"/>
        <v>0.6379907501503619</v>
      </c>
      <c r="U14" s="73">
        <f>F14-березень!F14</f>
        <v>33</v>
      </c>
      <c r="V14" s="98">
        <f>G14-березень!G14</f>
        <v>0</v>
      </c>
      <c r="W14" s="74">
        <f t="shared" si="10"/>
        <v>-33</v>
      </c>
      <c r="X14" s="75">
        <f t="shared" si="7"/>
        <v>0</v>
      </c>
      <c r="Y14" s="198">
        <f t="shared" si="8"/>
        <v>0.2747981418463261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65</v>
      </c>
      <c r="G15" s="106">
        <v>337.62</v>
      </c>
      <c r="H15" s="102">
        <f t="shared" si="9"/>
        <v>272.62</v>
      </c>
      <c r="I15" s="208">
        <f t="shared" si="0"/>
        <v>5.194153846153847</v>
      </c>
      <c r="J15" s="108">
        <f t="shared" si="1"/>
        <v>-562.38</v>
      </c>
      <c r="K15" s="108">
        <f aca="true" t="shared" si="11" ref="K15:K23">G15/E15*100</f>
        <v>37.513333333333335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-316.36</v>
      </c>
      <c r="S15" s="111">
        <f t="shared" si="5"/>
        <v>653.98</v>
      </c>
      <c r="T15" s="146">
        <f t="shared" si="6"/>
        <v>-1.0672019218611708</v>
      </c>
      <c r="U15" s="107">
        <f>F15-березень!F15</f>
        <v>5</v>
      </c>
      <c r="V15" s="110">
        <f>G15-березень!G15</f>
        <v>0</v>
      </c>
      <c r="W15" s="111">
        <f t="shared" si="10"/>
        <v>-5</v>
      </c>
      <c r="X15" s="148">
        <f t="shared" si="7"/>
        <v>0</v>
      </c>
      <c r="Y15" s="197">
        <f t="shared" si="8"/>
        <v>-2.08116075513254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F16-березень!F16</f>
        <v>0</v>
      </c>
      <c r="V16" s="110">
        <f>G16-березень!G16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F17-березень!F17</f>
        <v>0</v>
      </c>
      <c r="V17" s="110">
        <f>G17-березень!G17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F18-березень!F18</f>
        <v>0</v>
      </c>
      <c r="V18" s="110">
        <f>G18-березень!G18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v>44990</v>
      </c>
      <c r="G19" s="158">
        <v>30737.26</v>
      </c>
      <c r="H19" s="102">
        <f t="shared" si="9"/>
        <v>-14252.740000000002</v>
      </c>
      <c r="I19" s="208">
        <f t="shared" si="12"/>
        <v>0.6832020448988664</v>
      </c>
      <c r="J19" s="108">
        <f t="shared" si="1"/>
        <v>-120990.74</v>
      </c>
      <c r="K19" s="108">
        <f t="shared" si="11"/>
        <v>20.258132974797004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36104.76</v>
      </c>
      <c r="S19" s="111">
        <f t="shared" si="5"/>
        <v>-5367.500000000004</v>
      </c>
      <c r="T19" s="146">
        <f t="shared" si="6"/>
        <v>0.8513353917876756</v>
      </c>
      <c r="U19" s="107">
        <f>F19-березень!F19</f>
        <v>11375</v>
      </c>
      <c r="V19" s="110">
        <f>G19-березень!G19</f>
        <v>3131.6799999999967</v>
      </c>
      <c r="W19" s="111">
        <f t="shared" si="10"/>
        <v>-8243.320000000003</v>
      </c>
      <c r="X19" s="148">
        <f t="shared" si="13"/>
        <v>0.27531252747252716</v>
      </c>
      <c r="Y19" s="197">
        <f t="shared" si="8"/>
        <v>-0.39284522169911495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17690</v>
      </c>
      <c r="G20" s="141">
        <v>13126.21</v>
      </c>
      <c r="H20" s="170">
        <f t="shared" si="9"/>
        <v>-4563.790000000001</v>
      </c>
      <c r="I20" s="211">
        <f t="shared" si="12"/>
        <v>0.7420130016958734</v>
      </c>
      <c r="J20" s="171">
        <f t="shared" si="1"/>
        <v>-53581.79</v>
      </c>
      <c r="K20" s="171">
        <f t="shared" si="11"/>
        <v>19.677115188583077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21979.58</v>
      </c>
      <c r="S20" s="116">
        <f t="shared" si="5"/>
        <v>-8853.370000000003</v>
      </c>
      <c r="T20" s="172">
        <f t="shared" si="6"/>
        <v>0.5972002194764412</v>
      </c>
      <c r="U20" s="136">
        <f>F20-березень!F20</f>
        <v>4475</v>
      </c>
      <c r="V20" s="124">
        <f>G20-березень!G20</f>
        <v>487.8399999999983</v>
      </c>
      <c r="W20" s="116">
        <f t="shared" si="10"/>
        <v>-3987.1600000000017</v>
      </c>
      <c r="X20" s="180">
        <f t="shared" si="13"/>
        <v>0.10901452513966443</v>
      </c>
      <c r="Y20" s="197">
        <f t="shared" si="8"/>
        <v>-0.5011188294636928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5200</v>
      </c>
      <c r="G21" s="141">
        <v>3942.71</v>
      </c>
      <c r="H21" s="170">
        <f t="shared" si="9"/>
        <v>-1257.29</v>
      </c>
      <c r="I21" s="211">
        <f t="shared" si="12"/>
        <v>0.7582134615384616</v>
      </c>
      <c r="J21" s="171">
        <f t="shared" si="1"/>
        <v>-11753.29</v>
      </c>
      <c r="K21" s="171">
        <f t="shared" si="11"/>
        <v>25.11920234454638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3118.94</v>
      </c>
      <c r="S21" s="116">
        <f t="shared" si="5"/>
        <v>823.77</v>
      </c>
      <c r="T21" s="172"/>
      <c r="U21" s="136">
        <f>F21-березень!F21</f>
        <v>1300</v>
      </c>
      <c r="V21" s="124">
        <f>G21-березень!G21</f>
        <v>429.8499999999999</v>
      </c>
      <c r="W21" s="116">
        <f t="shared" si="10"/>
        <v>-870.1500000000001</v>
      </c>
      <c r="X21" s="180">
        <f t="shared" si="13"/>
        <v>0.3306538461538461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22100</v>
      </c>
      <c r="G22" s="141">
        <v>13668.33</v>
      </c>
      <c r="H22" s="170">
        <f t="shared" si="9"/>
        <v>-8431.67</v>
      </c>
      <c r="I22" s="211">
        <f t="shared" si="12"/>
        <v>0.6184764705882353</v>
      </c>
      <c r="J22" s="171">
        <f t="shared" si="1"/>
        <v>-55655.67</v>
      </c>
      <c r="K22" s="171">
        <f t="shared" si="11"/>
        <v>19.716591656569154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11006.24</v>
      </c>
      <c r="S22" s="116">
        <f t="shared" si="5"/>
        <v>2662.09</v>
      </c>
      <c r="T22" s="172"/>
      <c r="U22" s="136">
        <f>F22-березень!F22</f>
        <v>5600</v>
      </c>
      <c r="V22" s="124">
        <f>G22-березень!G22</f>
        <v>2213.9799999999996</v>
      </c>
      <c r="W22" s="116">
        <f t="shared" si="10"/>
        <v>-3386.0200000000004</v>
      </c>
      <c r="X22" s="180">
        <f t="shared" si="13"/>
        <v>0.39535357142857136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158997.2</v>
      </c>
      <c r="G23" s="158">
        <v>137658.01</v>
      </c>
      <c r="H23" s="102">
        <f t="shared" si="9"/>
        <v>-21339.190000000002</v>
      </c>
      <c r="I23" s="208">
        <f t="shared" si="12"/>
        <v>0.8657888943956246</v>
      </c>
      <c r="J23" s="108">
        <f t="shared" si="1"/>
        <v>-333909.18999999994</v>
      </c>
      <c r="K23" s="108">
        <f t="shared" si="11"/>
        <v>29.19159983985316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141309.29</v>
      </c>
      <c r="S23" s="111">
        <f t="shared" si="5"/>
        <v>-3651.279999999999</v>
      </c>
      <c r="T23" s="147">
        <f aca="true" t="shared" si="14" ref="T23:T41">G23/R23</f>
        <v>0.974161076033996</v>
      </c>
      <c r="U23" s="107">
        <f>F23-березень!F23</f>
        <v>40445.600000000006</v>
      </c>
      <c r="V23" s="110">
        <f>G23-березень!G23</f>
        <v>17472.880000000005</v>
      </c>
      <c r="W23" s="111">
        <f t="shared" si="10"/>
        <v>-22972.72</v>
      </c>
      <c r="X23" s="148">
        <f t="shared" si="13"/>
        <v>0.43200941511561214</v>
      </c>
      <c r="Y23" s="197">
        <f>T23-Q23</f>
        <v>-0.12071047773069932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69790.01000000001</v>
      </c>
      <c r="G24" s="158">
        <f>G25+G32+G35</f>
        <v>55058.76</v>
      </c>
      <c r="H24" s="102">
        <f t="shared" si="9"/>
        <v>-14731.250000000007</v>
      </c>
      <c r="I24" s="208">
        <f t="shared" si="12"/>
        <v>0.7889203626708177</v>
      </c>
      <c r="J24" s="108">
        <f t="shared" si="1"/>
        <v>-161783.24</v>
      </c>
      <c r="K24" s="148">
        <f aca="true" t="shared" si="15" ref="K24:K41">G24/E24</f>
        <v>0.25391188053974784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67677</v>
      </c>
      <c r="S24" s="111">
        <f t="shared" si="5"/>
        <v>-12618.239999999998</v>
      </c>
      <c r="T24" s="147">
        <f t="shared" si="14"/>
        <v>0.813552019149785</v>
      </c>
      <c r="U24" s="107">
        <f>F24-березень!F24</f>
        <v>19921.000000000015</v>
      </c>
      <c r="V24" s="110">
        <f>G24-березень!G24</f>
        <v>3991.7400000000052</v>
      </c>
      <c r="W24" s="111">
        <f t="shared" si="10"/>
        <v>-15929.26000000001</v>
      </c>
      <c r="X24" s="148">
        <f t="shared" si="13"/>
        <v>0.20037849505546923</v>
      </c>
      <c r="Y24" s="197">
        <f aca="true" t="shared" si="16" ref="Y24:Y99">T24-Q24</f>
        <v>-0.2328260256825937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11236.5</v>
      </c>
      <c r="G25" s="141">
        <v>7983.51</v>
      </c>
      <c r="H25" s="170">
        <f t="shared" si="9"/>
        <v>-3252.99</v>
      </c>
      <c r="I25" s="211">
        <f t="shared" si="12"/>
        <v>0.7104979308503537</v>
      </c>
      <c r="J25" s="171">
        <f t="shared" si="1"/>
        <v>-20800.489999999998</v>
      </c>
      <c r="K25" s="180">
        <f t="shared" si="15"/>
        <v>0.2773592968315731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9746.31</v>
      </c>
      <c r="S25" s="116">
        <f t="shared" si="5"/>
        <v>-1762.7999999999993</v>
      </c>
      <c r="T25" s="152">
        <f t="shared" si="14"/>
        <v>0.8191315482474907</v>
      </c>
      <c r="U25" s="136">
        <f>F25-березень!F25</f>
        <v>4879</v>
      </c>
      <c r="V25" s="124">
        <f>G25-березень!G25</f>
        <v>1041.7600000000002</v>
      </c>
      <c r="W25" s="116">
        <f t="shared" si="10"/>
        <v>-3837.24</v>
      </c>
      <c r="X25" s="180">
        <f t="shared" si="13"/>
        <v>0.21351916376306623</v>
      </c>
      <c r="Y25" s="197">
        <f t="shared" si="16"/>
        <v>-0.31346539770704795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280.61</v>
      </c>
      <c r="G26" s="139">
        <f>G28+G29</f>
        <v>606.48</v>
      </c>
      <c r="H26" s="158">
        <f t="shared" si="9"/>
        <v>325.87</v>
      </c>
      <c r="I26" s="212">
        <f t="shared" si="12"/>
        <v>2.161291472149959</v>
      </c>
      <c r="J26" s="176">
        <f t="shared" si="1"/>
        <v>-915.52</v>
      </c>
      <c r="K26" s="191">
        <f t="shared" si="15"/>
        <v>0.3984756898817346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200.24</v>
      </c>
      <c r="S26" s="201">
        <f t="shared" si="5"/>
        <v>406.24</v>
      </c>
      <c r="T26" s="162">
        <f t="shared" si="14"/>
        <v>3.028765481422293</v>
      </c>
      <c r="U26" s="167">
        <f>F26-березень!F26</f>
        <v>69</v>
      </c>
      <c r="V26" s="167">
        <f>G26-березень!G26</f>
        <v>94.92000000000002</v>
      </c>
      <c r="W26" s="176">
        <f t="shared" si="10"/>
        <v>25.920000000000016</v>
      </c>
      <c r="X26" s="191">
        <f t="shared" si="13"/>
        <v>1.3756521739130436</v>
      </c>
      <c r="Y26" s="197">
        <f t="shared" si="16"/>
        <v>2.0227438936003104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10955.89</v>
      </c>
      <c r="G27" s="139">
        <f>G30+G31</f>
        <v>7377.03</v>
      </c>
      <c r="H27" s="158">
        <f t="shared" si="9"/>
        <v>-3578.8599999999997</v>
      </c>
      <c r="I27" s="212">
        <f t="shared" si="12"/>
        <v>0.6733391810250011</v>
      </c>
      <c r="J27" s="176">
        <f t="shared" si="1"/>
        <v>-19884.97</v>
      </c>
      <c r="K27" s="191">
        <f t="shared" si="15"/>
        <v>0.2705975350304453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9546.07</v>
      </c>
      <c r="S27" s="201">
        <f t="shared" si="5"/>
        <v>-2169.04</v>
      </c>
      <c r="T27" s="162">
        <f t="shared" si="14"/>
        <v>0.7727818882534907</v>
      </c>
      <c r="U27" s="167">
        <f>F27-березень!F27</f>
        <v>4809.999999999999</v>
      </c>
      <c r="V27" s="167">
        <f>G27-березень!G27</f>
        <v>946.8400000000001</v>
      </c>
      <c r="W27" s="176">
        <f t="shared" si="10"/>
        <v>-3863.159999999999</v>
      </c>
      <c r="X27" s="191">
        <f t="shared" si="13"/>
        <v>0.1968482328482329</v>
      </c>
      <c r="Y27" s="197">
        <f t="shared" si="16"/>
        <v>-0.36782648083803915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132.8</v>
      </c>
      <c r="G28" s="206">
        <v>106.65</v>
      </c>
      <c r="H28" s="218">
        <f t="shared" si="9"/>
        <v>-26.150000000000006</v>
      </c>
      <c r="I28" s="220">
        <f t="shared" si="12"/>
        <v>0.8030873493975903</v>
      </c>
      <c r="J28" s="221">
        <f t="shared" si="1"/>
        <v>-209.35</v>
      </c>
      <c r="K28" s="222">
        <f t="shared" si="15"/>
        <v>0.3375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169.07</v>
      </c>
      <c r="S28" s="221">
        <f t="shared" si="5"/>
        <v>-62.41999999999999</v>
      </c>
      <c r="T28" s="222">
        <f t="shared" si="14"/>
        <v>0.630803809073165</v>
      </c>
      <c r="U28" s="206">
        <f>F28-березень!F28</f>
        <v>65.00000000000001</v>
      </c>
      <c r="V28" s="206">
        <f>G28-березень!G28</f>
        <v>25.080000000000013</v>
      </c>
      <c r="W28" s="221">
        <f t="shared" si="10"/>
        <v>-39.92</v>
      </c>
      <c r="X28" s="222">
        <f t="shared" si="13"/>
        <v>0.38584615384615395</v>
      </c>
      <c r="Y28" s="354">
        <f t="shared" si="16"/>
        <v>-0.5144971948773985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147.81</v>
      </c>
      <c r="G29" s="206">
        <v>499.83</v>
      </c>
      <c r="H29" s="218">
        <f t="shared" si="9"/>
        <v>352.02</v>
      </c>
      <c r="I29" s="220">
        <f t="shared" si="12"/>
        <v>3.3815709356606454</v>
      </c>
      <c r="J29" s="221">
        <f t="shared" si="1"/>
        <v>-706.1700000000001</v>
      </c>
      <c r="K29" s="222">
        <f t="shared" si="15"/>
        <v>0.41445273631840795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31.17</v>
      </c>
      <c r="S29" s="221">
        <f t="shared" si="5"/>
        <v>468.65999999999997</v>
      </c>
      <c r="T29" s="222">
        <f t="shared" si="14"/>
        <v>16.035611164581326</v>
      </c>
      <c r="U29" s="206">
        <f>F29-березень!F29</f>
        <v>4</v>
      </c>
      <c r="V29" s="206">
        <f>G29-березень!G29</f>
        <v>69.83999999999997</v>
      </c>
      <c r="W29" s="221">
        <f t="shared" si="10"/>
        <v>65.83999999999997</v>
      </c>
      <c r="X29" s="222">
        <f t="shared" si="13"/>
        <v>17.459999999999994</v>
      </c>
      <c r="Y29" s="354">
        <f t="shared" si="16"/>
        <v>15.060656031919521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330.09</v>
      </c>
      <c r="G30" s="206">
        <v>596.9</v>
      </c>
      <c r="H30" s="218">
        <f t="shared" si="9"/>
        <v>266.81</v>
      </c>
      <c r="I30" s="220">
        <f t="shared" si="12"/>
        <v>1.808294707504014</v>
      </c>
      <c r="J30" s="221">
        <f t="shared" si="1"/>
        <v>-1758.1</v>
      </c>
      <c r="K30" s="222">
        <f t="shared" si="15"/>
        <v>0.25346072186836516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71.41</v>
      </c>
      <c r="S30" s="221">
        <f t="shared" si="5"/>
        <v>525.49</v>
      </c>
      <c r="T30" s="222">
        <f t="shared" si="14"/>
        <v>8.358773281053073</v>
      </c>
      <c r="U30" s="206">
        <f>F30-березень!F30</f>
        <v>10</v>
      </c>
      <c r="V30" s="206">
        <f>G30-березень!G30</f>
        <v>43.94999999999993</v>
      </c>
      <c r="W30" s="221">
        <f t="shared" si="10"/>
        <v>33.94999999999993</v>
      </c>
      <c r="X30" s="222">
        <f t="shared" si="13"/>
        <v>4.394999999999993</v>
      </c>
      <c r="Y30" s="354">
        <f t="shared" si="16"/>
        <v>7.298081917467892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10625.8</v>
      </c>
      <c r="G31" s="206">
        <v>6780.13</v>
      </c>
      <c r="H31" s="218">
        <f t="shared" si="9"/>
        <v>-3845.669999999999</v>
      </c>
      <c r="I31" s="220">
        <f t="shared" si="12"/>
        <v>0.6380818385439214</v>
      </c>
      <c r="J31" s="221">
        <f t="shared" si="1"/>
        <v>-18126.87</v>
      </c>
      <c r="K31" s="222">
        <f t="shared" si="15"/>
        <v>0.27221785040350105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9474.66</v>
      </c>
      <c r="S31" s="221">
        <f t="shared" si="5"/>
        <v>-2694.5299999999997</v>
      </c>
      <c r="T31" s="222">
        <f t="shared" si="14"/>
        <v>0.7156066814007046</v>
      </c>
      <c r="U31" s="206">
        <f>F31-березень!F31</f>
        <v>4799.999999999999</v>
      </c>
      <c r="V31" s="206">
        <f>G31-березень!G31</f>
        <v>902.8900000000003</v>
      </c>
      <c r="W31" s="221"/>
      <c r="X31" s="222">
        <f t="shared" si="13"/>
        <v>0.18810208333333345</v>
      </c>
      <c r="Y31" s="354">
        <f t="shared" si="16"/>
        <v>-0.4331856038366665</v>
      </c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172.03</v>
      </c>
      <c r="G32" s="120">
        <v>384.7</v>
      </c>
      <c r="H32" s="170">
        <f t="shared" si="9"/>
        <v>212.67</v>
      </c>
      <c r="I32" s="211">
        <f t="shared" si="12"/>
        <v>2.2362378654885773</v>
      </c>
      <c r="J32" s="171">
        <f t="shared" si="1"/>
        <v>102.69999999999999</v>
      </c>
      <c r="K32" s="180">
        <f t="shared" si="15"/>
        <v>1.3641843971631205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104.51</v>
      </c>
      <c r="S32" s="121">
        <f t="shared" si="5"/>
        <v>280.19</v>
      </c>
      <c r="T32" s="150">
        <f t="shared" si="14"/>
        <v>3.6809874653143235</v>
      </c>
      <c r="U32" s="136">
        <f>F32-березень!F32</f>
        <v>12</v>
      </c>
      <c r="V32" s="124">
        <f>G32-березень!G32</f>
        <v>39.629999999999995</v>
      </c>
      <c r="W32" s="116">
        <f t="shared" si="10"/>
        <v>27.629999999999995</v>
      </c>
      <c r="X32" s="180">
        <f t="shared" si="13"/>
        <v>3.3024999999999998</v>
      </c>
      <c r="Y32" s="198">
        <f t="shared" si="16"/>
        <v>3.243954331383815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121.34</v>
      </c>
      <c r="H33" s="71">
        <f t="shared" si="9"/>
        <v>93.49000000000001</v>
      </c>
      <c r="I33" s="209">
        <f t="shared" si="12"/>
        <v>4.356912028725314</v>
      </c>
      <c r="J33" s="72">
        <f t="shared" si="1"/>
        <v>21.340000000000003</v>
      </c>
      <c r="K33" s="75">
        <f t="shared" si="15"/>
        <v>1.2134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-43.4</v>
      </c>
      <c r="S33" s="72">
        <f t="shared" si="5"/>
        <v>164.74</v>
      </c>
      <c r="T33" s="75">
        <f t="shared" si="14"/>
        <v>-2.7958525345622123</v>
      </c>
      <c r="U33" s="73">
        <f>F33-березень!F33</f>
        <v>0</v>
      </c>
      <c r="V33" s="98">
        <f>G33-березень!G33</f>
        <v>0</v>
      </c>
      <c r="W33" s="74">
        <f t="shared" si="10"/>
        <v>0</v>
      </c>
      <c r="X33" s="75" t="e">
        <f t="shared" si="13"/>
        <v>#DIV/0!</v>
      </c>
      <c r="Y33" s="354">
        <f t="shared" si="16"/>
        <v>-3.2101713943567103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144.18</v>
      </c>
      <c r="G34" s="94">
        <v>263.36</v>
      </c>
      <c r="H34" s="71">
        <f t="shared" si="9"/>
        <v>119.18</v>
      </c>
      <c r="I34" s="209">
        <f t="shared" si="12"/>
        <v>1.8266056318490775</v>
      </c>
      <c r="J34" s="72">
        <f t="shared" si="1"/>
        <v>81.36000000000001</v>
      </c>
      <c r="K34" s="75">
        <f t="shared" si="15"/>
        <v>1.4470329670329671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147.92</v>
      </c>
      <c r="S34" s="72">
        <f t="shared" si="5"/>
        <v>115.44000000000003</v>
      </c>
      <c r="T34" s="75">
        <f t="shared" si="14"/>
        <v>1.780421849648459</v>
      </c>
      <c r="U34" s="73">
        <f>F34-березень!F34</f>
        <v>12</v>
      </c>
      <c r="V34" s="98">
        <f>G34-березень!G34</f>
        <v>39.630000000000024</v>
      </c>
      <c r="W34" s="74"/>
      <c r="X34" s="75">
        <f t="shared" si="13"/>
        <v>3.302500000000002</v>
      </c>
      <c r="Y34" s="354">
        <f t="shared" si="16"/>
        <v>1.3298264199735315</v>
      </c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58381.48</v>
      </c>
      <c r="G35" s="120">
        <v>46690.55</v>
      </c>
      <c r="H35" s="102">
        <f t="shared" si="9"/>
        <v>-11690.93</v>
      </c>
      <c r="I35" s="211">
        <f t="shared" si="12"/>
        <v>0.7997493383175623</v>
      </c>
      <c r="J35" s="171">
        <f t="shared" si="1"/>
        <v>-141085.45</v>
      </c>
      <c r="K35" s="180">
        <f t="shared" si="15"/>
        <v>0.2486502534935242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57826.16</v>
      </c>
      <c r="S35" s="122">
        <f t="shared" si="5"/>
        <v>-11135.61</v>
      </c>
      <c r="T35" s="149">
        <f t="shared" si="14"/>
        <v>0.8074295439987715</v>
      </c>
      <c r="U35" s="136">
        <f>F35-березень!F35</f>
        <v>15030.000000000007</v>
      </c>
      <c r="V35" s="124">
        <f>G35-березень!G35</f>
        <v>2910.350000000006</v>
      </c>
      <c r="W35" s="116">
        <f t="shared" si="10"/>
        <v>-12119.650000000001</v>
      </c>
      <c r="X35" s="180">
        <f t="shared" si="13"/>
        <v>0.19363606121091181</v>
      </c>
      <c r="Y35" s="198">
        <f t="shared" si="16"/>
        <v>-0.22902423592844778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7" ref="E36:G37">E38+E40</f>
        <v>60690</v>
      </c>
      <c r="F36" s="139">
        <f t="shared" si="17"/>
        <v>19295.230000000003</v>
      </c>
      <c r="G36" s="139">
        <v>4326.71</v>
      </c>
      <c r="H36" s="158">
        <f t="shared" si="9"/>
        <v>-14968.520000000004</v>
      </c>
      <c r="I36" s="212">
        <f t="shared" si="12"/>
        <v>0.22423728558819975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19304.539999999997</v>
      </c>
      <c r="S36" s="140">
        <f t="shared" si="5"/>
        <v>-14977.829999999998</v>
      </c>
      <c r="T36" s="162">
        <f t="shared" si="14"/>
        <v>0.22412914267835446</v>
      </c>
      <c r="U36" s="167">
        <f>F36-березень!F36</f>
        <v>4930.000000000004</v>
      </c>
      <c r="V36" s="167">
        <f>G36-березень!G36</f>
        <v>0</v>
      </c>
      <c r="W36" s="176">
        <f t="shared" si="10"/>
        <v>-4930.000000000004</v>
      </c>
      <c r="X36" s="191">
        <f aca="true" t="shared" si="18" ref="X36:X41">V36/U36*100</f>
        <v>0</v>
      </c>
      <c r="Y36" s="197">
        <f t="shared" si="16"/>
        <v>-0.8113830033041178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7"/>
        <v>127086</v>
      </c>
      <c r="F37" s="139">
        <f t="shared" si="17"/>
        <v>39086.25</v>
      </c>
      <c r="G37" s="139">
        <f t="shared" si="17"/>
        <v>32386.75</v>
      </c>
      <c r="H37" s="158">
        <f t="shared" si="9"/>
        <v>-6699.5</v>
      </c>
      <c r="I37" s="212">
        <f t="shared" si="12"/>
        <v>0.8285970130160862</v>
      </c>
      <c r="J37" s="176">
        <f t="shared" si="1"/>
        <v>-94699.25</v>
      </c>
      <c r="K37" s="191">
        <f t="shared" si="15"/>
        <v>0.25484120988936626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38521.630000000005</v>
      </c>
      <c r="S37" s="140">
        <f t="shared" si="5"/>
        <v>-6134.880000000005</v>
      </c>
      <c r="T37" s="162">
        <f t="shared" si="14"/>
        <v>0.8407419416052746</v>
      </c>
      <c r="U37" s="167">
        <f>F37-березень!F37</f>
        <v>10100</v>
      </c>
      <c r="V37" s="167">
        <f>G37-березень!G37</f>
        <v>2256.2400000000016</v>
      </c>
      <c r="W37" s="176">
        <f t="shared" si="10"/>
        <v>-7843.759999999998</v>
      </c>
      <c r="X37" s="191">
        <f>V37/U37</f>
        <v>0.22339009900990114</v>
      </c>
      <c r="Y37" s="197">
        <f t="shared" si="16"/>
        <v>-0.1961621206589026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18484.4</v>
      </c>
      <c r="G38" s="206">
        <v>13998.15</v>
      </c>
      <c r="H38" s="218">
        <f t="shared" si="9"/>
        <v>-4486.250000000002</v>
      </c>
      <c r="I38" s="220">
        <f t="shared" si="12"/>
        <v>0.7572953409361407</v>
      </c>
      <c r="J38" s="221">
        <f t="shared" si="1"/>
        <v>-43291.85</v>
      </c>
      <c r="K38" s="222">
        <f t="shared" si="15"/>
        <v>0.2443384534822831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18921.87</v>
      </c>
      <c r="S38" s="221">
        <f t="shared" si="5"/>
        <v>-4923.719999999999</v>
      </c>
      <c r="T38" s="222">
        <f t="shared" si="14"/>
        <v>0.7397868181104722</v>
      </c>
      <c r="U38" s="206">
        <f>F38-березень!F38</f>
        <v>4700.000000000002</v>
      </c>
      <c r="V38" s="206">
        <f>G38-березень!G38</f>
        <v>614.5799999999999</v>
      </c>
      <c r="W38" s="221">
        <f t="shared" si="10"/>
        <v>-4085.420000000002</v>
      </c>
      <c r="X38" s="222">
        <f t="shared" si="18"/>
        <v>13.07617021276595</v>
      </c>
      <c r="Y38" s="354">
        <f t="shared" si="16"/>
        <v>-0.2972068306880705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32993.45</v>
      </c>
      <c r="G39" s="206">
        <v>26838.45</v>
      </c>
      <c r="H39" s="218">
        <f t="shared" si="9"/>
        <v>-6154.999999999996</v>
      </c>
      <c r="I39" s="220">
        <f t="shared" si="12"/>
        <v>0.8134478207038065</v>
      </c>
      <c r="J39" s="221">
        <f t="shared" si="1"/>
        <v>-79147.55</v>
      </c>
      <c r="K39" s="222">
        <f t="shared" si="15"/>
        <v>0.2532263695205027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32285.88</v>
      </c>
      <c r="S39" s="221">
        <f t="shared" si="5"/>
        <v>-5447.43</v>
      </c>
      <c r="T39" s="222">
        <f t="shared" si="14"/>
        <v>0.8312751580567108</v>
      </c>
      <c r="U39" s="206">
        <f>F39-березень!F39</f>
        <v>8599.999999999996</v>
      </c>
      <c r="V39" s="206">
        <f>G39-березень!G39</f>
        <v>1633.7400000000016</v>
      </c>
      <c r="W39" s="221">
        <f t="shared" si="10"/>
        <v>-6966.259999999995</v>
      </c>
      <c r="X39" s="222">
        <f t="shared" si="18"/>
        <v>18.99697674418607</v>
      </c>
      <c r="Y39" s="354">
        <f t="shared" si="16"/>
        <v>-0.2058068903726118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810.83</v>
      </c>
      <c r="G40" s="206">
        <v>305.65</v>
      </c>
      <c r="H40" s="218">
        <f t="shared" si="9"/>
        <v>-505.18000000000006</v>
      </c>
      <c r="I40" s="220">
        <f t="shared" si="12"/>
        <v>0.3769594119605836</v>
      </c>
      <c r="J40" s="221">
        <f t="shared" si="1"/>
        <v>-3094.35</v>
      </c>
      <c r="K40" s="222">
        <f t="shared" si="15"/>
        <v>0.0898970588235294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382.67</v>
      </c>
      <c r="S40" s="221">
        <f t="shared" si="5"/>
        <v>-77.02000000000004</v>
      </c>
      <c r="T40" s="222">
        <f t="shared" si="14"/>
        <v>0.7987299762197192</v>
      </c>
      <c r="U40" s="206">
        <f>F40-березень!F40</f>
        <v>230</v>
      </c>
      <c r="V40" s="206">
        <f>G40-березень!G40</f>
        <v>39.52999999999997</v>
      </c>
      <c r="W40" s="221">
        <f t="shared" si="10"/>
        <v>-190.47000000000003</v>
      </c>
      <c r="X40" s="222">
        <f t="shared" si="18"/>
        <v>17.18695652173912</v>
      </c>
      <c r="Y40" s="354">
        <f t="shared" si="16"/>
        <v>-0.2124404833275143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6092.8</v>
      </c>
      <c r="G41" s="206">
        <v>5548.3</v>
      </c>
      <c r="H41" s="218">
        <f t="shared" si="9"/>
        <v>-544.5</v>
      </c>
      <c r="I41" s="220">
        <f t="shared" si="12"/>
        <v>0.9106322216386554</v>
      </c>
      <c r="J41" s="221">
        <f t="shared" si="1"/>
        <v>-15551.7</v>
      </c>
      <c r="K41" s="222">
        <f t="shared" si="15"/>
        <v>0.2629526066350711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6235.75</v>
      </c>
      <c r="S41" s="221">
        <f t="shared" si="5"/>
        <v>-687.4499999999998</v>
      </c>
      <c r="T41" s="222">
        <f t="shared" si="14"/>
        <v>0.8897566451509442</v>
      </c>
      <c r="U41" s="206">
        <f>F41-березень!F41</f>
        <v>1500</v>
      </c>
      <c r="V41" s="206">
        <f>G41-березень!G41</f>
        <v>622.5</v>
      </c>
      <c r="W41" s="221">
        <f t="shared" si="10"/>
        <v>-877.5</v>
      </c>
      <c r="X41" s="222">
        <f t="shared" si="18"/>
        <v>41.5</v>
      </c>
      <c r="Y41" s="354">
        <f t="shared" si="16"/>
        <v>-0.1462543100511564</v>
      </c>
    </row>
    <row r="42" spans="1:25" s="6" customFormat="1" ht="18">
      <c r="A42" s="8"/>
      <c r="B42" s="159" t="s">
        <v>97</v>
      </c>
      <c r="C42" s="157">
        <v>18020000</v>
      </c>
      <c r="D42" s="234"/>
      <c r="E42" s="112">
        <v>0</v>
      </c>
      <c r="F42" s="112"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F42-березень!F42</f>
        <v>0</v>
      </c>
      <c r="V42" s="110">
        <f>G42-березень!G42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50.43</v>
      </c>
      <c r="G43" s="106">
        <v>47.71</v>
      </c>
      <c r="H43" s="102">
        <f t="shared" si="9"/>
        <v>-2.719999999999999</v>
      </c>
      <c r="I43" s="208">
        <f>G43/F43</f>
        <v>0.9460638508824113</v>
      </c>
      <c r="J43" s="108">
        <f t="shared" si="1"/>
        <v>-126.69</v>
      </c>
      <c r="K43" s="148">
        <f>G43/E43</f>
        <v>0.2735665137614679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52.41</v>
      </c>
      <c r="S43" s="108">
        <f t="shared" si="5"/>
        <v>-4.699999999999996</v>
      </c>
      <c r="T43" s="148">
        <f aca="true" t="shared" si="19" ref="T43:T51">G43/R43</f>
        <v>0.9103224575462698</v>
      </c>
      <c r="U43" s="107">
        <f>F43-березень!F43</f>
        <v>17</v>
      </c>
      <c r="V43" s="110">
        <f>G43-березень!G43</f>
        <v>0.480000000000004</v>
      </c>
      <c r="W43" s="111">
        <f t="shared" si="10"/>
        <v>-16.519999999999996</v>
      </c>
      <c r="X43" s="148">
        <f>V43/U43</f>
        <v>0.028235294117647292</v>
      </c>
      <c r="Y43" s="355">
        <f t="shared" si="16"/>
        <v>-0.20178059053433217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30.9</v>
      </c>
      <c r="G44" s="94">
        <v>38.9</v>
      </c>
      <c r="H44" s="71">
        <f t="shared" si="9"/>
        <v>8</v>
      </c>
      <c r="I44" s="209">
        <f>G44/F44</f>
        <v>1.2588996763754046</v>
      </c>
      <c r="J44" s="72">
        <f t="shared" si="1"/>
        <v>-62.00000000000001</v>
      </c>
      <c r="K44" s="75">
        <f>G44/E44</f>
        <v>0.3855302279484638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27.86</v>
      </c>
      <c r="S44" s="72">
        <f t="shared" si="5"/>
        <v>11.04</v>
      </c>
      <c r="T44" s="75">
        <f t="shared" si="19"/>
        <v>1.396267049533381</v>
      </c>
      <c r="U44" s="73">
        <f>F44-березень!F44</f>
        <v>5</v>
      </c>
      <c r="V44" s="98">
        <f>G44-березень!G44</f>
        <v>0</v>
      </c>
      <c r="W44" s="74">
        <f t="shared" si="10"/>
        <v>-5</v>
      </c>
      <c r="X44" s="75">
        <f>V44/U44</f>
        <v>0</v>
      </c>
      <c r="Y44" s="354">
        <f t="shared" si="16"/>
        <v>0.3357246909039928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19.53</v>
      </c>
      <c r="G45" s="94">
        <v>8.81</v>
      </c>
      <c r="H45" s="71">
        <f t="shared" si="9"/>
        <v>-10.72</v>
      </c>
      <c r="I45" s="209">
        <f>G45/F45</f>
        <v>0.4511008704557092</v>
      </c>
      <c r="J45" s="72">
        <f t="shared" si="1"/>
        <v>-64.69</v>
      </c>
      <c r="K45" s="75">
        <f>G45/E45</f>
        <v>0.1198639455782313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24.55</v>
      </c>
      <c r="S45" s="72">
        <f t="shared" si="5"/>
        <v>-15.74</v>
      </c>
      <c r="T45" s="75">
        <f t="shared" si="19"/>
        <v>0.3588594704684318</v>
      </c>
      <c r="U45" s="73">
        <f>F45-березень!F45</f>
        <v>12</v>
      </c>
      <c r="V45" s="98">
        <f>G45-березень!G45</f>
        <v>0.4800000000000004</v>
      </c>
      <c r="W45" s="74">
        <f t="shared" si="10"/>
        <v>-11.52</v>
      </c>
      <c r="X45" s="75">
        <f>V45/U45</f>
        <v>0.040000000000000036</v>
      </c>
      <c r="Y45" s="354">
        <f t="shared" si="16"/>
        <v>-0.8327747707767044</v>
      </c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-1.18</v>
      </c>
      <c r="H46" s="102">
        <f t="shared" si="9"/>
        <v>-1.18</v>
      </c>
      <c r="I46" s="208"/>
      <c r="J46" s="108">
        <f t="shared" si="1"/>
        <v>-1.18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-27.35</v>
      </c>
      <c r="S46" s="108">
        <f t="shared" si="5"/>
        <v>26.17</v>
      </c>
      <c r="T46" s="148">
        <f t="shared" si="19"/>
        <v>0.04314442413162705</v>
      </c>
      <c r="U46" s="107">
        <f>F46-березень!F46</f>
        <v>0</v>
      </c>
      <c r="V46" s="110">
        <f>G46-березень!G46</f>
        <v>0.5800000000000001</v>
      </c>
      <c r="W46" s="111">
        <f t="shared" si="10"/>
        <v>0.5800000000000001</v>
      </c>
      <c r="X46" s="148"/>
      <c r="Y46" s="197">
        <f t="shared" si="16"/>
        <v>0.04314442413162705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89156.76</v>
      </c>
      <c r="G47" s="113">
        <v>82552.71</v>
      </c>
      <c r="H47" s="102">
        <f t="shared" si="9"/>
        <v>-6604.049999999988</v>
      </c>
      <c r="I47" s="208">
        <f>G47/F47</f>
        <v>0.9259276582056146</v>
      </c>
      <c r="J47" s="108">
        <f t="shared" si="1"/>
        <v>-171998.08999999997</v>
      </c>
      <c r="K47" s="148">
        <f>G47/E47</f>
        <v>0.3243074074015875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73607.04</v>
      </c>
      <c r="S47" s="123">
        <f t="shared" si="5"/>
        <v>8945.670000000013</v>
      </c>
      <c r="T47" s="160">
        <f t="shared" si="19"/>
        <v>1.1215328044708768</v>
      </c>
      <c r="U47" s="107">
        <f>F47-березень!F47</f>
        <v>20507.59999999999</v>
      </c>
      <c r="V47" s="110">
        <f>G47-березень!G47</f>
        <v>13480.060000000012</v>
      </c>
      <c r="W47" s="111">
        <f t="shared" si="10"/>
        <v>-7027.539999999979</v>
      </c>
      <c r="X47" s="148">
        <f>V47/U47</f>
        <v>0.657320212994208</v>
      </c>
      <c r="Y47" s="197">
        <f t="shared" si="16"/>
        <v>-0.01806883001402726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 t="shared" si="1"/>
        <v>0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-0.01</v>
      </c>
      <c r="T48" s="153">
        <f t="shared" si="19"/>
        <v>0</v>
      </c>
      <c r="U48" s="73">
        <f>F48-березень!F48</f>
        <v>0</v>
      </c>
      <c r="V48" s="98">
        <f>G48-березень!G48</f>
        <v>-0.01</v>
      </c>
      <c r="W48" s="74">
        <f t="shared" si="10"/>
        <v>-0.01</v>
      </c>
      <c r="X48" s="75"/>
      <c r="Y48" s="197">
        <f t="shared" si="16"/>
        <v>0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18983.87</v>
      </c>
      <c r="G49" s="94">
        <v>16389.37</v>
      </c>
      <c r="H49" s="71">
        <f>G49-F49</f>
        <v>-2594.5</v>
      </c>
      <c r="I49" s="209">
        <f>G49/F49</f>
        <v>0.8633313439251322</v>
      </c>
      <c r="J49" s="72">
        <f t="shared" si="1"/>
        <v>-39325.630000000005</v>
      </c>
      <c r="K49" s="75">
        <f>G49/E49</f>
        <v>0.29416440814861344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13998.42</v>
      </c>
      <c r="S49" s="85">
        <f t="shared" si="5"/>
        <v>2390.949999999999</v>
      </c>
      <c r="T49" s="153">
        <f t="shared" si="19"/>
        <v>1.170801419017289</v>
      </c>
      <c r="U49" s="73">
        <f>F49-березень!F49</f>
        <v>3999.999999999998</v>
      </c>
      <c r="V49" s="98">
        <f>G49-березень!G49</f>
        <v>1883.1299999999992</v>
      </c>
      <c r="W49" s="74">
        <f t="shared" si="10"/>
        <v>-2116.869999999999</v>
      </c>
      <c r="X49" s="75">
        <f>V49/U49</f>
        <v>0.4707825</v>
      </c>
      <c r="Y49" s="197">
        <f t="shared" si="16"/>
        <v>-0.06647549250503126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70140.49</v>
      </c>
      <c r="G50" s="94">
        <v>66141.04</v>
      </c>
      <c r="H50" s="71">
        <f>G50-F50</f>
        <v>-3999.4500000000116</v>
      </c>
      <c r="I50" s="209">
        <f>G50/F50</f>
        <v>0.9429794402633912</v>
      </c>
      <c r="J50" s="72">
        <f t="shared" si="1"/>
        <v>-132613.96000000002</v>
      </c>
      <c r="K50" s="75">
        <f>G50/E50</f>
        <v>0.3327767351764735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59585.52</v>
      </c>
      <c r="S50" s="85">
        <f t="shared" si="5"/>
        <v>6555.519999999997</v>
      </c>
      <c r="T50" s="153">
        <f t="shared" si="19"/>
        <v>1.110018675678252</v>
      </c>
      <c r="U50" s="73">
        <f>F50-березень!F50</f>
        <v>16500.000000000007</v>
      </c>
      <c r="V50" s="98">
        <f>G50-березень!G50</f>
        <v>11596.939999999995</v>
      </c>
      <c r="W50" s="74">
        <f t="shared" si="10"/>
        <v>-4903.060000000012</v>
      </c>
      <c r="X50" s="75">
        <f>V50/U50</f>
        <v>0.7028448484848479</v>
      </c>
      <c r="Y50" s="197">
        <f t="shared" si="16"/>
        <v>-0.004889791377157948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32.4</v>
      </c>
      <c r="G51" s="94">
        <v>22.31</v>
      </c>
      <c r="H51" s="71">
        <f>G51-F51</f>
        <v>-10.09</v>
      </c>
      <c r="I51" s="209">
        <f>G51/F51</f>
        <v>0.6885802469135802</v>
      </c>
      <c r="J51" s="72">
        <f t="shared" si="1"/>
        <v>-58.489999999999995</v>
      </c>
      <c r="K51" s="75">
        <f>G51/E51</f>
        <v>0.2761138613861386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23.09</v>
      </c>
      <c r="S51" s="85">
        <f t="shared" si="5"/>
        <v>-0.7800000000000011</v>
      </c>
      <c r="T51" s="153">
        <f t="shared" si="19"/>
        <v>0.9662191424859246</v>
      </c>
      <c r="U51" s="73">
        <f>F51-березень!F51</f>
        <v>7.599999999999998</v>
      </c>
      <c r="V51" s="98">
        <f>G51-березень!G51</f>
        <v>0</v>
      </c>
      <c r="W51" s="74">
        <f t="shared" si="10"/>
        <v>-7.599999999999998</v>
      </c>
      <c r="X51" s="75"/>
      <c r="Y51" s="197">
        <f t="shared" si="16"/>
        <v>-0.22851692139105317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F52-березень!F52</f>
        <v>0</v>
      </c>
      <c r="V52" s="99">
        <f>G52-березень!G52</f>
        <v>0</v>
      </c>
      <c r="W52" s="117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14390.55</v>
      </c>
      <c r="G53" s="103">
        <f>G54+G55+G56+G57+G58+G60+G62+G63+G64+G65+G66+G71+G72+G76+G59+G61</f>
        <v>15077.65</v>
      </c>
      <c r="H53" s="103">
        <f>H54+H55+H56+H57+H58+H60+H62+H63+H64+H65+H66+H71+H72+H76+H59+H61</f>
        <v>687.1000000000003</v>
      </c>
      <c r="I53" s="143">
        <f aca="true" t="shared" si="20" ref="I53:I72">G53/F53</f>
        <v>1.0477466114915692</v>
      </c>
      <c r="J53" s="104">
        <f>G53-E53</f>
        <v>-32171.25</v>
      </c>
      <c r="K53" s="156">
        <f aca="true" t="shared" si="21" ref="K53:K72">G53/E53</f>
        <v>0.3191111327459475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19437.9</v>
      </c>
      <c r="S53" s="103">
        <f t="shared" si="5"/>
        <v>-4360.250000000002</v>
      </c>
      <c r="T53" s="143">
        <f>G53/R53</f>
        <v>0.7756830727599174</v>
      </c>
      <c r="U53" s="103">
        <f>U54+U55+U56+U57+U58+U60+U62+U63+U64+U65+U66+U71+U72+U76+U59+U61</f>
        <v>3747.5019999999995</v>
      </c>
      <c r="V53" s="103">
        <f>V54+V55+V56+V57+V58+V60+V62+V63+V64+V65+V66+V71+V72+V76+V59+V61</f>
        <v>3580.1600000000017</v>
      </c>
      <c r="W53" s="103">
        <f>W54+W55+W56+W57+W58+W60+W62+W63+W64+W65+W66+W71+W72+W76</f>
        <v>-174.34199999999936</v>
      </c>
      <c r="X53" s="143">
        <f>V53/U53</f>
        <v>0.9553457209629247</v>
      </c>
      <c r="Y53" s="197">
        <f t="shared" si="16"/>
        <v>0.09467654906999545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58.91</v>
      </c>
      <c r="H54" s="102">
        <f aca="true" t="shared" si="22" ref="H54:H78">G54-F54</f>
        <v>52.8</v>
      </c>
      <c r="I54" s="213">
        <f t="shared" si="20"/>
        <v>9.641571194762683</v>
      </c>
      <c r="J54" s="115">
        <f>G54-E54</f>
        <v>-2591.09</v>
      </c>
      <c r="K54" s="155">
        <f t="shared" si="21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-180.86</v>
      </c>
      <c r="S54" s="115">
        <f t="shared" si="5"/>
        <v>239.77</v>
      </c>
      <c r="T54" s="155">
        <f>G54/R54</f>
        <v>-0.32572155258210767</v>
      </c>
      <c r="U54" s="107">
        <f>F54-березень!F54</f>
        <v>0</v>
      </c>
      <c r="V54" s="110">
        <f>G54-березень!G54</f>
        <v>0</v>
      </c>
      <c r="W54" s="111">
        <f aca="true" t="shared" si="23" ref="W54:W78">V54-U54</f>
        <v>0</v>
      </c>
      <c r="X54" s="155" t="e">
        <f>V54/U54</f>
        <v>#DIV/0!</v>
      </c>
      <c r="Y54" s="197">
        <f t="shared" si="16"/>
        <v>-1.3318112426305517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1000.08</v>
      </c>
      <c r="G55" s="106">
        <v>2237.17</v>
      </c>
      <c r="H55" s="102">
        <f t="shared" si="22"/>
        <v>1237.0900000000001</v>
      </c>
      <c r="I55" s="213">
        <f t="shared" si="20"/>
        <v>2.2369910407167426</v>
      </c>
      <c r="J55" s="115">
        <f aca="true" t="shared" si="24" ref="J55:J78">G55-E55</f>
        <v>-2762.83</v>
      </c>
      <c r="K55" s="155">
        <f t="shared" si="21"/>
        <v>0.447434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7806.86</v>
      </c>
      <c r="S55" s="115">
        <f t="shared" si="5"/>
        <v>-5569.69</v>
      </c>
      <c r="T55" s="155">
        <f aca="true" t="shared" si="27" ref="T55:T78">G55/R55</f>
        <v>0.2865646367425572</v>
      </c>
      <c r="U55" s="107">
        <f>F55-березень!F55</f>
        <v>420.00200000000007</v>
      </c>
      <c r="V55" s="110">
        <f>G55-березень!G55</f>
        <v>1137.4</v>
      </c>
      <c r="W55" s="111">
        <f t="shared" si="23"/>
        <v>717.398</v>
      </c>
      <c r="X55" s="155">
        <f aca="true" t="shared" si="28" ref="X55:X77">V55/U55</f>
        <v>2.7080823424650355</v>
      </c>
      <c r="Y55" s="197">
        <f t="shared" si="16"/>
        <v>0.10797790073661384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42</v>
      </c>
      <c r="G56" s="106">
        <v>51.82</v>
      </c>
      <c r="H56" s="102">
        <f t="shared" si="22"/>
        <v>9.82</v>
      </c>
      <c r="I56" s="213">
        <f t="shared" si="20"/>
        <v>1.233809523809524</v>
      </c>
      <c r="J56" s="115">
        <f t="shared" si="24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82.8</v>
      </c>
      <c r="S56" s="115">
        <f t="shared" si="5"/>
        <v>-30.979999999999997</v>
      </c>
      <c r="T56" s="155">
        <f t="shared" si="27"/>
        <v>0.6258454106280193</v>
      </c>
      <c r="U56" s="107">
        <f>F56-березень!F56</f>
        <v>14</v>
      </c>
      <c r="V56" s="110">
        <f>G56-березень!G56</f>
        <v>0</v>
      </c>
      <c r="W56" s="111">
        <f t="shared" si="23"/>
        <v>-14</v>
      </c>
      <c r="X56" s="155">
        <f t="shared" si="28"/>
        <v>0</v>
      </c>
      <c r="Y56" s="197">
        <f t="shared" si="16"/>
        <v>-0.40481342824999755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5</v>
      </c>
      <c r="G57" s="106">
        <v>2.02</v>
      </c>
      <c r="H57" s="102">
        <f t="shared" si="22"/>
        <v>-2.98</v>
      </c>
      <c r="I57" s="213">
        <f t="shared" si="20"/>
        <v>0.404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F57-березень!F57</f>
        <v>1</v>
      </c>
      <c r="V57" s="110">
        <f>G57-березень!G57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208.43</v>
      </c>
      <c r="G58" s="106">
        <v>239.37</v>
      </c>
      <c r="H58" s="102">
        <f t="shared" si="22"/>
        <v>30.939999999999998</v>
      </c>
      <c r="I58" s="213">
        <f t="shared" si="20"/>
        <v>1.1484431223912104</v>
      </c>
      <c r="J58" s="115">
        <f t="shared" si="24"/>
        <v>-504.63</v>
      </c>
      <c r="K58" s="155">
        <f t="shared" si="21"/>
        <v>0.3217338709677419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394.48</v>
      </c>
      <c r="S58" s="115">
        <f t="shared" si="5"/>
        <v>-155.11</v>
      </c>
      <c r="T58" s="155">
        <f t="shared" si="27"/>
        <v>0.6067988237679983</v>
      </c>
      <c r="U58" s="107">
        <f>F58-березень!F58</f>
        <v>60</v>
      </c>
      <c r="V58" s="110">
        <f>G58-березень!G58</f>
        <v>14.780000000000001</v>
      </c>
      <c r="W58" s="111">
        <f t="shared" si="23"/>
        <v>-45.22</v>
      </c>
      <c r="X58" s="155">
        <f t="shared" si="28"/>
        <v>0.24633333333333335</v>
      </c>
      <c r="Y58" s="197">
        <f t="shared" si="16"/>
        <v>-0.4480564880806924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30</v>
      </c>
      <c r="G59" s="106">
        <v>25.62</v>
      </c>
      <c r="H59" s="102">
        <f t="shared" si="22"/>
        <v>-4.379999999999999</v>
      </c>
      <c r="I59" s="213">
        <f t="shared" si="20"/>
        <v>0.854</v>
      </c>
      <c r="J59" s="115">
        <f t="shared" si="24"/>
        <v>-89.88</v>
      </c>
      <c r="K59" s="155">
        <f t="shared" si="21"/>
        <v>0.22181818181818183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1.01</v>
      </c>
      <c r="S59" s="115">
        <f t="shared" si="5"/>
        <v>24.61</v>
      </c>
      <c r="T59" s="155">
        <f t="shared" si="27"/>
        <v>25.366336633663366</v>
      </c>
      <c r="U59" s="107">
        <f>F59-березень!F59</f>
        <v>10</v>
      </c>
      <c r="V59" s="110">
        <f>G59-березень!G59</f>
        <v>17</v>
      </c>
      <c r="W59" s="111">
        <f t="shared" si="23"/>
        <v>7</v>
      </c>
      <c r="X59" s="155">
        <f t="shared" si="28"/>
        <v>1.7</v>
      </c>
      <c r="Y59" s="197">
        <f t="shared" si="16"/>
        <v>24.355837945999323</v>
      </c>
    </row>
    <row r="60" spans="1:25" s="6" customFormat="1" ht="30.75">
      <c r="A60" s="8"/>
      <c r="B60" s="352" t="s">
        <v>89</v>
      </c>
      <c r="C60" s="40">
        <v>22010300</v>
      </c>
      <c r="D60" s="249">
        <v>1284</v>
      </c>
      <c r="E60" s="102">
        <v>1284</v>
      </c>
      <c r="F60" s="102">
        <v>384</v>
      </c>
      <c r="G60" s="106">
        <v>338.2</v>
      </c>
      <c r="H60" s="102">
        <f t="shared" si="22"/>
        <v>-45.80000000000001</v>
      </c>
      <c r="I60" s="213">
        <f t="shared" si="20"/>
        <v>0.8807291666666667</v>
      </c>
      <c r="J60" s="115">
        <f t="shared" si="24"/>
        <v>-945.8</v>
      </c>
      <c r="K60" s="155">
        <f t="shared" si="21"/>
        <v>0.2633956386292835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393.47</v>
      </c>
      <c r="S60" s="115">
        <f t="shared" si="5"/>
        <v>-55.27000000000004</v>
      </c>
      <c r="T60" s="155">
        <f t="shared" si="27"/>
        <v>0.8595318575749104</v>
      </c>
      <c r="U60" s="107">
        <f>F60-березень!F60</f>
        <v>100</v>
      </c>
      <c r="V60" s="110">
        <f>G60-березень!G60</f>
        <v>57.870000000000005</v>
      </c>
      <c r="W60" s="111">
        <f t="shared" si="23"/>
        <v>-42.129999999999995</v>
      </c>
      <c r="X60" s="155">
        <f t="shared" si="28"/>
        <v>0.5787</v>
      </c>
      <c r="Y60" s="197">
        <f t="shared" si="16"/>
        <v>-0.20590452326051112</v>
      </c>
    </row>
    <row r="61" spans="1:25" s="6" customFormat="1" ht="18" hidden="1">
      <c r="A61" s="8"/>
      <c r="B61" s="352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F61-березень!F61</f>
        <v>0</v>
      </c>
      <c r="V61" s="110">
        <f>G61-березень!G61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353" t="s">
        <v>65</v>
      </c>
      <c r="C62" s="57">
        <v>22012500</v>
      </c>
      <c r="D62" s="248">
        <v>21260</v>
      </c>
      <c r="E62" s="102">
        <v>21260</v>
      </c>
      <c r="F62" s="102">
        <v>7490</v>
      </c>
      <c r="G62" s="106">
        <v>7443.17</v>
      </c>
      <c r="H62" s="102">
        <f t="shared" si="22"/>
        <v>-46.82999999999993</v>
      </c>
      <c r="I62" s="213">
        <f t="shared" si="20"/>
        <v>0.9937476635514019</v>
      </c>
      <c r="J62" s="115">
        <f t="shared" si="24"/>
        <v>-13816.83</v>
      </c>
      <c r="K62" s="155">
        <f t="shared" si="21"/>
        <v>0.3501020696142992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4681.51</v>
      </c>
      <c r="S62" s="115">
        <f t="shared" si="5"/>
        <v>2761.66</v>
      </c>
      <c r="T62" s="155">
        <f t="shared" si="27"/>
        <v>1.5899079570480463</v>
      </c>
      <c r="U62" s="107">
        <f>F62-березень!F62</f>
        <v>1800</v>
      </c>
      <c r="V62" s="110">
        <f>G62-березень!G62</f>
        <v>1241.2300000000005</v>
      </c>
      <c r="W62" s="111">
        <f t="shared" si="23"/>
        <v>-558.7699999999995</v>
      </c>
      <c r="X62" s="155">
        <f t="shared" si="28"/>
        <v>0.6895722222222225</v>
      </c>
      <c r="Y62" s="197">
        <f t="shared" si="16"/>
        <v>0.5327298369553966</v>
      </c>
    </row>
    <row r="63" spans="1:25" s="6" customFormat="1" ht="31.5">
      <c r="A63" s="8"/>
      <c r="B63" s="353" t="s">
        <v>86</v>
      </c>
      <c r="C63" s="57">
        <v>22012600</v>
      </c>
      <c r="D63" s="248">
        <v>767</v>
      </c>
      <c r="E63" s="102">
        <v>767</v>
      </c>
      <c r="F63" s="102">
        <v>249</v>
      </c>
      <c r="G63" s="106">
        <v>239.67</v>
      </c>
      <c r="H63" s="102">
        <f t="shared" si="22"/>
        <v>-9.330000000000013</v>
      </c>
      <c r="I63" s="213">
        <f t="shared" si="20"/>
        <v>0.9625301204819277</v>
      </c>
      <c r="J63" s="115">
        <f t="shared" si="24"/>
        <v>-527.33</v>
      </c>
      <c r="K63" s="155">
        <f t="shared" si="21"/>
        <v>0.312477183833116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175.37</v>
      </c>
      <c r="S63" s="115">
        <f t="shared" si="5"/>
        <v>64.29999999999998</v>
      </c>
      <c r="T63" s="155">
        <f t="shared" si="27"/>
        <v>1.3666533614643324</v>
      </c>
      <c r="U63" s="107">
        <f>F63-березень!F63</f>
        <v>64</v>
      </c>
      <c r="V63" s="110">
        <f>G63-березень!G63</f>
        <v>37.50999999999999</v>
      </c>
      <c r="W63" s="111">
        <f t="shared" si="23"/>
        <v>-26.49000000000001</v>
      </c>
      <c r="X63" s="155">
        <f t="shared" si="28"/>
        <v>0.5860937499999999</v>
      </c>
      <c r="Y63" s="197">
        <f t="shared" si="16"/>
        <v>0.28643252883518455</v>
      </c>
    </row>
    <row r="64" spans="1:25" s="6" customFormat="1" ht="31.5">
      <c r="A64" s="8"/>
      <c r="B64" s="353" t="s">
        <v>90</v>
      </c>
      <c r="C64" s="57">
        <v>22012900</v>
      </c>
      <c r="D64" s="248">
        <v>44</v>
      </c>
      <c r="E64" s="102">
        <v>44</v>
      </c>
      <c r="F64" s="102">
        <v>12</v>
      </c>
      <c r="G64" s="106">
        <v>13.06</v>
      </c>
      <c r="H64" s="102">
        <f t="shared" si="22"/>
        <v>1.0600000000000005</v>
      </c>
      <c r="I64" s="213">
        <f t="shared" si="20"/>
        <v>1.0883333333333334</v>
      </c>
      <c r="J64" s="115">
        <f t="shared" si="24"/>
        <v>-30.939999999999998</v>
      </c>
      <c r="K64" s="155">
        <f t="shared" si="21"/>
        <v>0.2968181818181818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11.36</v>
      </c>
      <c r="S64" s="115">
        <f t="shared" si="5"/>
        <v>1.700000000000001</v>
      </c>
      <c r="T64" s="155">
        <f t="shared" si="27"/>
        <v>1.1496478873239437</v>
      </c>
      <c r="U64" s="107">
        <f>F64-березень!F64</f>
        <v>4</v>
      </c>
      <c r="V64" s="110">
        <f>G64-березень!G64</f>
        <v>5.300000000000001</v>
      </c>
      <c r="W64" s="111">
        <f t="shared" si="23"/>
        <v>1.3000000000000007</v>
      </c>
      <c r="X64" s="155">
        <f t="shared" si="28"/>
        <v>1.3250000000000002</v>
      </c>
      <c r="Y64" s="197">
        <f t="shared" si="16"/>
        <v>0.08787182554788187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2064.14</v>
      </c>
      <c r="G65" s="106">
        <v>2279.83</v>
      </c>
      <c r="H65" s="102">
        <f t="shared" si="22"/>
        <v>215.69000000000005</v>
      </c>
      <c r="I65" s="213">
        <f t="shared" si="20"/>
        <v>1.1044938812289864</v>
      </c>
      <c r="J65" s="115">
        <f t="shared" si="24"/>
        <v>-3720.17</v>
      </c>
      <c r="K65" s="155">
        <f t="shared" si="21"/>
        <v>0.37997166666666665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2187.7</v>
      </c>
      <c r="S65" s="115">
        <f t="shared" si="5"/>
        <v>92.13000000000011</v>
      </c>
      <c r="T65" s="155">
        <f t="shared" si="27"/>
        <v>1.0421127211226402</v>
      </c>
      <c r="U65" s="107">
        <f>F65-березень!F65</f>
        <v>499.9999999999998</v>
      </c>
      <c r="V65" s="110">
        <f>G65-березень!G65</f>
        <v>579.26</v>
      </c>
      <c r="W65" s="111">
        <f t="shared" si="23"/>
        <v>79.26000000000022</v>
      </c>
      <c r="X65" s="155">
        <f t="shared" si="28"/>
        <v>1.1585200000000004</v>
      </c>
      <c r="Y65" s="197">
        <f t="shared" si="16"/>
        <v>0.1255168360271004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269.64</v>
      </c>
      <c r="G66" s="106">
        <v>183.33</v>
      </c>
      <c r="H66" s="102">
        <f t="shared" si="22"/>
        <v>-86.30999999999997</v>
      </c>
      <c r="I66" s="213">
        <f t="shared" si="20"/>
        <v>0.6799065420560748</v>
      </c>
      <c r="J66" s="115">
        <f t="shared" si="24"/>
        <v>-682.67</v>
      </c>
      <c r="K66" s="155">
        <f t="shared" si="21"/>
        <v>0.21169745958429562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289.26</v>
      </c>
      <c r="S66" s="115">
        <f t="shared" si="5"/>
        <v>-105.92999999999998</v>
      </c>
      <c r="T66" s="155">
        <f t="shared" si="27"/>
        <v>0.6337896701929061</v>
      </c>
      <c r="U66" s="107">
        <f>F66-березень!F66</f>
        <v>74.5</v>
      </c>
      <c r="V66" s="110">
        <f>G66-березень!G66</f>
        <v>23.03</v>
      </c>
      <c r="W66" s="111">
        <f t="shared" si="23"/>
        <v>-51.47</v>
      </c>
      <c r="X66" s="155">
        <f t="shared" si="28"/>
        <v>0.3091275167785235</v>
      </c>
      <c r="Y66" s="197">
        <f t="shared" si="16"/>
        <v>-0.3324909305524466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223.42</v>
      </c>
      <c r="G67" s="94">
        <v>140.73</v>
      </c>
      <c r="H67" s="71">
        <f t="shared" si="22"/>
        <v>-82.69</v>
      </c>
      <c r="I67" s="209">
        <f t="shared" si="20"/>
        <v>0.6298898934741742</v>
      </c>
      <c r="J67" s="72">
        <f t="shared" si="24"/>
        <v>-587.47</v>
      </c>
      <c r="K67" s="75">
        <f t="shared" si="21"/>
        <v>0.1932573468827245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255.38</v>
      </c>
      <c r="S67" s="203">
        <f t="shared" si="5"/>
        <v>-114.65</v>
      </c>
      <c r="T67" s="204">
        <f t="shared" si="27"/>
        <v>0.5510611637559715</v>
      </c>
      <c r="U67" s="73">
        <f>F67-березень!F67</f>
        <v>63</v>
      </c>
      <c r="V67" s="98">
        <f>G67-березень!G67</f>
        <v>16.269999999999996</v>
      </c>
      <c r="W67" s="74">
        <f t="shared" si="23"/>
        <v>-46.730000000000004</v>
      </c>
      <c r="X67" s="75">
        <f t="shared" si="28"/>
        <v>0.2582539682539682</v>
      </c>
      <c r="Y67" s="197">
        <f t="shared" si="16"/>
        <v>-0.4063157130024625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0.2</v>
      </c>
      <c r="G68" s="94">
        <v>0.06</v>
      </c>
      <c r="H68" s="71">
        <f t="shared" si="22"/>
        <v>-0.14</v>
      </c>
      <c r="I68" s="209">
        <f t="shared" si="20"/>
        <v>0.3</v>
      </c>
      <c r="J68" s="72">
        <f t="shared" si="24"/>
        <v>-0.94</v>
      </c>
      <c r="K68" s="75">
        <f t="shared" si="21"/>
        <v>0.06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0.12</v>
      </c>
      <c r="S68" s="203">
        <f t="shared" si="5"/>
        <v>-0.06</v>
      </c>
      <c r="T68" s="204">
        <f t="shared" si="27"/>
        <v>0.5</v>
      </c>
      <c r="U68" s="73">
        <f>F68-березень!F68</f>
        <v>0.1</v>
      </c>
      <c r="V68" s="98">
        <f>G68-березень!G68</f>
        <v>0</v>
      </c>
      <c r="W68" s="74">
        <f t="shared" si="23"/>
        <v>-0.1</v>
      </c>
      <c r="X68" s="75"/>
      <c r="Y68" s="197">
        <f t="shared" si="16"/>
        <v>-5.055555555555555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F69-березень!F69</f>
        <v>0</v>
      </c>
      <c r="V69" s="98">
        <f>G69-березень!G69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161</v>
      </c>
      <c r="C70" s="138">
        <v>22090400</v>
      </c>
      <c r="D70" s="233">
        <v>136.8</v>
      </c>
      <c r="E70" s="71">
        <v>136.8</v>
      </c>
      <c r="F70" s="71">
        <v>46.02</v>
      </c>
      <c r="G70" s="94">
        <v>42.55</v>
      </c>
      <c r="H70" s="71">
        <f t="shared" si="22"/>
        <v>-3.470000000000006</v>
      </c>
      <c r="I70" s="209">
        <f t="shared" si="20"/>
        <v>0.9245980008691872</v>
      </c>
      <c r="J70" s="72">
        <f t="shared" si="24"/>
        <v>-94.25000000000001</v>
      </c>
      <c r="K70" s="75">
        <f t="shared" si="21"/>
        <v>0.3110380116959064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33.77</v>
      </c>
      <c r="S70" s="203">
        <f t="shared" si="5"/>
        <v>8.779999999999994</v>
      </c>
      <c r="T70" s="204">
        <f t="shared" si="27"/>
        <v>1.259994077583654</v>
      </c>
      <c r="U70" s="73">
        <f>F70-березень!F70</f>
        <v>11.400000000000006</v>
      </c>
      <c r="V70" s="98">
        <f>G70-березень!G70</f>
        <v>6.759999999999998</v>
      </c>
      <c r="W70" s="74">
        <f t="shared" si="23"/>
        <v>-4.640000000000008</v>
      </c>
      <c r="X70" s="75">
        <f t="shared" si="28"/>
        <v>0.5929824561403504</v>
      </c>
      <c r="Y70" s="197">
        <f t="shared" si="16"/>
        <v>0.24980355919641406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F71-березень!F71</f>
        <v>0</v>
      </c>
      <c r="V71" s="110">
        <f>G71-березень!G71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2608.65</v>
      </c>
      <c r="G72" s="106">
        <v>1965.48</v>
      </c>
      <c r="H72" s="102">
        <f t="shared" si="22"/>
        <v>-643.1700000000001</v>
      </c>
      <c r="I72" s="213">
        <f t="shared" si="20"/>
        <v>0.7534471853257432</v>
      </c>
      <c r="J72" s="115">
        <f t="shared" si="24"/>
        <v>-6204.52</v>
      </c>
      <c r="K72" s="155">
        <f t="shared" si="21"/>
        <v>0.24057282741738067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3536.21</v>
      </c>
      <c r="S72" s="115">
        <f t="shared" si="5"/>
        <v>-1570.73</v>
      </c>
      <c r="T72" s="155">
        <f t="shared" si="27"/>
        <v>0.5558154068904279</v>
      </c>
      <c r="U72" s="107">
        <f>F72-березень!F72</f>
        <v>680</v>
      </c>
      <c r="V72" s="110">
        <f>G72-березень!G72</f>
        <v>466.78</v>
      </c>
      <c r="W72" s="111">
        <f t="shared" si="23"/>
        <v>-213.22000000000003</v>
      </c>
      <c r="X72" s="155">
        <f t="shared" si="28"/>
        <v>0.6864411764705882</v>
      </c>
      <c r="Y72" s="197">
        <f t="shared" si="16"/>
        <v>-0.45445797283881395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F73-березень!F73</f>
        <v>0</v>
      </c>
      <c r="V73" s="110">
        <f>G73-березень!G73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F74-березень!F74</f>
        <v>0</v>
      </c>
      <c r="V74" s="110">
        <f>G74-березень!G74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F75-березень!F75</f>
        <v>0</v>
      </c>
      <c r="V75" s="110">
        <f>G75-березень!G75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20</v>
      </c>
      <c r="G76" s="106">
        <v>0</v>
      </c>
      <c r="H76" s="102">
        <f t="shared" si="22"/>
        <v>-20</v>
      </c>
      <c r="I76" s="213">
        <f>G76/F76</f>
        <v>0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 t="shared" si="5"/>
        <v>-54.64</v>
      </c>
      <c r="T76" s="155">
        <f t="shared" si="27"/>
        <v>0</v>
      </c>
      <c r="U76" s="107">
        <f>F76-березень!F76</f>
        <v>20</v>
      </c>
      <c r="V76" s="110">
        <f>G76-березень!G76</f>
        <v>0</v>
      </c>
      <c r="W76" s="111">
        <f t="shared" si="23"/>
        <v>-20</v>
      </c>
      <c r="X76" s="155">
        <f t="shared" si="28"/>
        <v>0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12.47</v>
      </c>
      <c r="G77" s="106">
        <v>4.74</v>
      </c>
      <c r="H77" s="102">
        <f t="shared" si="22"/>
        <v>-7.73</v>
      </c>
      <c r="I77" s="213">
        <f>G77/F77</f>
        <v>0.38011226944667204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16.85</v>
      </c>
      <c r="S77" s="115">
        <f t="shared" si="5"/>
        <v>-12.110000000000001</v>
      </c>
      <c r="T77" s="155">
        <f t="shared" si="27"/>
        <v>0.2813056379821958</v>
      </c>
      <c r="U77" s="107">
        <f>F77-березень!F77</f>
        <v>2.9000000000000004</v>
      </c>
      <c r="V77" s="110">
        <f>G77-березень!G77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-0.7414880499196159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0.45</v>
      </c>
      <c r="H78" s="102">
        <f t="shared" si="22"/>
        <v>0.45</v>
      </c>
      <c r="I78" s="213" t="e">
        <f>G78/F78</f>
        <v>#DIV/0!</v>
      </c>
      <c r="J78" s="115">
        <f t="shared" si="24"/>
        <v>0.45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-5.25</v>
      </c>
      <c r="S78" s="115">
        <f t="shared" si="5"/>
        <v>5.7</v>
      </c>
      <c r="T78" s="155">
        <f t="shared" si="27"/>
        <v>-0.08571428571428572</v>
      </c>
      <c r="U78" s="107">
        <f>F78-березень!F78</f>
        <v>0</v>
      </c>
      <c r="V78" s="110">
        <f>G78-березень!G78</f>
        <v>0</v>
      </c>
      <c r="W78" s="111">
        <f t="shared" si="23"/>
        <v>0</v>
      </c>
      <c r="X78" s="155"/>
      <c r="Y78" s="197">
        <f t="shared" si="16"/>
        <v>-0.08571428571428572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502291.36</v>
      </c>
      <c r="G79" s="103">
        <f>G8+G53+G77+G78</f>
        <v>442820.49</v>
      </c>
      <c r="H79" s="103">
        <f>G79-F79</f>
        <v>-59470.869999999995</v>
      </c>
      <c r="I79" s="210">
        <f>G79/F79</f>
        <v>0.8816008501519915</v>
      </c>
      <c r="J79" s="104">
        <f>G79-E79</f>
        <v>-1185097.21</v>
      </c>
      <c r="K79" s="156">
        <f>G79/E79</f>
        <v>0.2720165091883945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419761.75</v>
      </c>
      <c r="S79" s="104">
        <f>G79-R79</f>
        <v>23058.73999999999</v>
      </c>
      <c r="T79" s="156">
        <f>G79/R79</f>
        <v>1.0549329232594442</v>
      </c>
      <c r="U79" s="103">
        <f>U8+U53+U77+U78</f>
        <v>130095.803</v>
      </c>
      <c r="V79" s="103">
        <f>V8+V53+V77+V78</f>
        <v>64199.70999999999</v>
      </c>
      <c r="W79" s="135">
        <f>V79-U79</f>
        <v>-65896.09300000001</v>
      </c>
      <c r="X79" s="156">
        <f>V79/U79</f>
        <v>0.4934802547012219</v>
      </c>
      <c r="Y79" s="197">
        <f t="shared" si="16"/>
        <v>-0.10869954225801681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F84-березень!F84</f>
        <v>0</v>
      </c>
      <c r="V84" s="110">
        <f>G84-березень!G84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F85-березень!F85</f>
        <v>0</v>
      </c>
      <c r="V85" s="110">
        <f>G85-березень!G85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F86-березень!F86</f>
        <v>0</v>
      </c>
      <c r="V86" s="174">
        <f>G86-березень!G86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9.43</v>
      </c>
      <c r="H87" s="129">
        <f aca="true" t="shared" si="31" ref="H87:H98">G87-F87</f>
        <v>9.43</v>
      </c>
      <c r="I87" s="216"/>
      <c r="J87" s="131">
        <f>G87-E87</f>
        <v>9.43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-26.14</v>
      </c>
      <c r="T87" s="147"/>
      <c r="U87" s="129">
        <f>F87-березень!F87</f>
        <v>0</v>
      </c>
      <c r="V87" s="174">
        <f>G87-березень!G87</f>
        <v>9.43</v>
      </c>
      <c r="W87" s="131">
        <f aca="true" t="shared" si="34" ref="W87:W98">V87-U87</f>
        <v>9.43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f>5000+3318.039</f>
        <v>8318.039</v>
      </c>
      <c r="F88" s="125">
        <v>806.429</v>
      </c>
      <c r="G88" s="126">
        <v>806.47</v>
      </c>
      <c r="H88" s="112">
        <f t="shared" si="31"/>
        <v>0.04100000000005366</v>
      </c>
      <c r="I88" s="213">
        <f>G88/F88</f>
        <v>1.0000508414255938</v>
      </c>
      <c r="J88" s="117">
        <f>G88-E88</f>
        <v>-7511.569</v>
      </c>
      <c r="K88" s="147">
        <f>G88/E88</f>
        <v>0.09695434224340617</v>
      </c>
      <c r="L88" s="117"/>
      <c r="M88" s="117"/>
      <c r="N88" s="117"/>
      <c r="O88" s="117">
        <v>938.14</v>
      </c>
      <c r="P88" s="117">
        <f t="shared" si="32"/>
        <v>7379.899</v>
      </c>
      <c r="Q88" s="147">
        <f t="shared" si="33"/>
        <v>8.866522054277613</v>
      </c>
      <c r="R88" s="117">
        <v>0.12</v>
      </c>
      <c r="S88" s="117">
        <f t="shared" si="29"/>
        <v>806.35</v>
      </c>
      <c r="T88" s="147">
        <f t="shared" si="30"/>
        <v>6720.583333333334</v>
      </c>
      <c r="U88" s="112">
        <f>F88-березень!F88</f>
        <v>0</v>
      </c>
      <c r="V88" s="118">
        <f>G88-березень!G88</f>
        <v>0.009999999999990905</v>
      </c>
      <c r="W88" s="117">
        <f t="shared" si="34"/>
        <v>0.009999999999990905</v>
      </c>
      <c r="X88" s="147" t="e">
        <f>V88/U88</f>
        <v>#DIV/0!</v>
      </c>
      <c r="Y88" s="197">
        <f t="shared" si="16"/>
        <v>6711.716811279056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3015</v>
      </c>
      <c r="G89" s="126">
        <v>1390.87</v>
      </c>
      <c r="H89" s="112">
        <f t="shared" si="31"/>
        <v>-1624.13</v>
      </c>
      <c r="I89" s="213">
        <f>G89/F89</f>
        <v>0.46131674958540625</v>
      </c>
      <c r="J89" s="117">
        <f aca="true" t="shared" si="35" ref="J89:J98">G89-E89</f>
        <v>-15058.130000000001</v>
      </c>
      <c r="K89" s="147">
        <f>G89/E89</f>
        <v>0.08455650799440695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302.92</v>
      </c>
      <c r="S89" s="117">
        <f t="shared" si="29"/>
        <v>1087.9499999999998</v>
      </c>
      <c r="T89" s="147">
        <f t="shared" si="30"/>
        <v>4.591542321404991</v>
      </c>
      <c r="U89" s="112">
        <f>F89-березень!F89</f>
        <v>1000</v>
      </c>
      <c r="V89" s="118">
        <f>G89-березень!G89</f>
        <v>189.15999999999985</v>
      </c>
      <c r="W89" s="117">
        <f t="shared" si="34"/>
        <v>-810.8400000000001</v>
      </c>
      <c r="X89" s="147">
        <f>V89/U89</f>
        <v>0.18915999999999986</v>
      </c>
      <c r="Y89" s="197">
        <f t="shared" si="16"/>
        <v>2.5716863600117583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f>22000+15</f>
        <v>22015</v>
      </c>
      <c r="F90" s="125">
        <v>8000</v>
      </c>
      <c r="G90" s="126">
        <v>1737.49</v>
      </c>
      <c r="H90" s="112">
        <f t="shared" si="31"/>
        <v>-6262.51</v>
      </c>
      <c r="I90" s="213">
        <f>G90/F90</f>
        <v>0.21718625</v>
      </c>
      <c r="J90" s="117">
        <f t="shared" si="35"/>
        <v>-20277.51</v>
      </c>
      <c r="K90" s="147">
        <f>G90/E90</f>
        <v>0.0789230070406541</v>
      </c>
      <c r="L90" s="117"/>
      <c r="M90" s="117"/>
      <c r="N90" s="117"/>
      <c r="O90" s="117">
        <v>17305.88</v>
      </c>
      <c r="P90" s="117">
        <f t="shared" si="32"/>
        <v>4709.119999999999</v>
      </c>
      <c r="Q90" s="147">
        <f t="shared" si="33"/>
        <v>1.2721109819321526</v>
      </c>
      <c r="R90" s="117">
        <v>1821.45</v>
      </c>
      <c r="S90" s="117">
        <f t="shared" si="29"/>
        <v>-83.96000000000004</v>
      </c>
      <c r="T90" s="147">
        <f t="shared" si="30"/>
        <v>0.9539048560213017</v>
      </c>
      <c r="U90" s="112">
        <f>F90-березень!F90</f>
        <v>2000</v>
      </c>
      <c r="V90" s="118">
        <f>G90-березень!G90</f>
        <v>279.70000000000005</v>
      </c>
      <c r="W90" s="117">
        <f t="shared" si="34"/>
        <v>-1720.3</v>
      </c>
      <c r="X90" s="147">
        <f>V90/U90</f>
        <v>0.13985000000000003</v>
      </c>
      <c r="Y90" s="197">
        <f t="shared" si="16"/>
        <v>-0.31820612591085085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8</v>
      </c>
      <c r="G91" s="126">
        <v>3</v>
      </c>
      <c r="H91" s="112">
        <f t="shared" si="31"/>
        <v>-5</v>
      </c>
      <c r="I91" s="213">
        <f>G91/F91</f>
        <v>0.375</v>
      </c>
      <c r="J91" s="117">
        <f t="shared" si="35"/>
        <v>-21</v>
      </c>
      <c r="K91" s="147">
        <f>G91/E91</f>
        <v>0.125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5</v>
      </c>
      <c r="S91" s="117">
        <f t="shared" si="29"/>
        <v>-2</v>
      </c>
      <c r="T91" s="147">
        <f t="shared" si="30"/>
        <v>0.6</v>
      </c>
      <c r="U91" s="112">
        <f>F91-березень!F91</f>
        <v>2</v>
      </c>
      <c r="V91" s="118">
        <f>G91-березень!G91</f>
        <v>0</v>
      </c>
      <c r="W91" s="117">
        <f t="shared" si="34"/>
        <v>-2</v>
      </c>
      <c r="X91" s="147">
        <f>V91/U91</f>
        <v>0</v>
      </c>
      <c r="Y91" s="197">
        <f t="shared" si="16"/>
        <v>-0.6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11829.429</v>
      </c>
      <c r="G92" s="128">
        <f>G88+G89+G90+G91</f>
        <v>3937.83</v>
      </c>
      <c r="H92" s="129">
        <f t="shared" si="31"/>
        <v>-7891.599</v>
      </c>
      <c r="I92" s="216">
        <f>G92/F92</f>
        <v>0.33288419922888923</v>
      </c>
      <c r="J92" s="131">
        <f t="shared" si="35"/>
        <v>-42868.209</v>
      </c>
      <c r="K92" s="151">
        <f>G92/E92</f>
        <v>0.08413081055630449</v>
      </c>
      <c r="L92" s="131"/>
      <c r="M92" s="131"/>
      <c r="N92" s="131"/>
      <c r="O92" s="131">
        <v>26407.66</v>
      </c>
      <c r="P92" s="131">
        <f t="shared" si="32"/>
        <v>20398.379000000004</v>
      </c>
      <c r="Q92" s="151">
        <f t="shared" si="33"/>
        <v>1.772441746069133</v>
      </c>
      <c r="R92" s="131">
        <v>2129.48</v>
      </c>
      <c r="S92" s="117">
        <f t="shared" si="29"/>
        <v>1808.35</v>
      </c>
      <c r="T92" s="147">
        <f t="shared" si="30"/>
        <v>1.8491979262542968</v>
      </c>
      <c r="U92" s="129">
        <f>F92-березень!F92</f>
        <v>3002</v>
      </c>
      <c r="V92" s="174">
        <f>G92-березень!G92</f>
        <v>468.8699999999999</v>
      </c>
      <c r="W92" s="131">
        <f t="shared" si="34"/>
        <v>-2533.13</v>
      </c>
      <c r="X92" s="151">
        <f>V92/U92</f>
        <v>0.15618587608261156</v>
      </c>
      <c r="Y92" s="197">
        <f t="shared" si="16"/>
        <v>0.07675618018516372</v>
      </c>
      <c r="AB92" s="4" t="s">
        <v>160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11</v>
      </c>
      <c r="G93" s="126">
        <v>1.3</v>
      </c>
      <c r="H93" s="112">
        <f t="shared" si="31"/>
        <v>-9.7</v>
      </c>
      <c r="I93" s="213"/>
      <c r="J93" s="117">
        <f t="shared" si="35"/>
        <v>-41.7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9.25</v>
      </c>
      <c r="S93" s="117">
        <f t="shared" si="29"/>
        <v>-7.95</v>
      </c>
      <c r="T93" s="147">
        <f t="shared" si="30"/>
        <v>0.14054054054054055</v>
      </c>
      <c r="U93" s="112">
        <f>F93-березень!F93</f>
        <v>4</v>
      </c>
      <c r="V93" s="118">
        <f>G93-березень!G93</f>
        <v>0.06000000000000005</v>
      </c>
      <c r="W93" s="117">
        <f t="shared" si="34"/>
        <v>-3.94</v>
      </c>
      <c r="X93" s="147"/>
      <c r="Y93" s="197">
        <f t="shared" si="16"/>
        <v>-0.7339764413589916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F94-березень!F94</f>
        <v>0</v>
      </c>
      <c r="V94" s="118">
        <f>G94-березень!G94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2833.45</v>
      </c>
      <c r="G95" s="126">
        <v>2504.28</v>
      </c>
      <c r="H95" s="112">
        <f t="shared" si="31"/>
        <v>-329.1699999999996</v>
      </c>
      <c r="I95" s="213">
        <f>G95/F95</f>
        <v>0.8838271365296725</v>
      </c>
      <c r="J95" s="117">
        <f t="shared" si="35"/>
        <v>-6545.719999999999</v>
      </c>
      <c r="K95" s="147">
        <f>G95/E95</f>
        <v>0.2767160220994475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2231.54</v>
      </c>
      <c r="S95" s="117">
        <f t="shared" si="29"/>
        <v>272.74000000000024</v>
      </c>
      <c r="T95" s="147">
        <f t="shared" si="30"/>
        <v>1.122220529320559</v>
      </c>
      <c r="U95" s="112">
        <f>F95-березень!F95</f>
        <v>13.699999999999818</v>
      </c>
      <c r="V95" s="118">
        <f>G95-березень!G95</f>
        <v>2.930000000000291</v>
      </c>
      <c r="W95" s="117">
        <f t="shared" si="34"/>
        <v>-10.769999999999527</v>
      </c>
      <c r="X95" s="147">
        <f>V95/U95</f>
        <v>0.21386861313871022</v>
      </c>
      <c r="Y95" s="197">
        <f t="shared" si="16"/>
        <v>-0.004250417686762598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G96-березень!G96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2844.45</v>
      </c>
      <c r="G97" s="128">
        <f>G93+G96+G94+G95</f>
        <v>2505.5800000000004</v>
      </c>
      <c r="H97" s="129">
        <f t="shared" si="31"/>
        <v>-338.86999999999944</v>
      </c>
      <c r="I97" s="216">
        <f>G97/F97</f>
        <v>0.880866248308109</v>
      </c>
      <c r="J97" s="131">
        <f t="shared" si="35"/>
        <v>-6587.42</v>
      </c>
      <c r="K97" s="151">
        <f>G97/E97</f>
        <v>0.27555042340261743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2240.82</v>
      </c>
      <c r="S97" s="117">
        <f t="shared" si="29"/>
        <v>264.7600000000002</v>
      </c>
      <c r="T97" s="147">
        <f t="shared" si="30"/>
        <v>1.1181531760694747</v>
      </c>
      <c r="U97" s="129">
        <f>F97-березень!F97</f>
        <v>17.699999999999818</v>
      </c>
      <c r="V97" s="174">
        <f>G97-лютий!G97</f>
        <v>127.32000000000062</v>
      </c>
      <c r="W97" s="131">
        <f t="shared" si="34"/>
        <v>109.6200000000008</v>
      </c>
      <c r="X97" s="151">
        <f>V97/U97</f>
        <v>7.19322033898316</v>
      </c>
      <c r="Y97" s="197">
        <f t="shared" si="16"/>
        <v>-0.006771204220038962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47.413</v>
      </c>
      <c r="F98" s="125">
        <v>13.99</v>
      </c>
      <c r="G98" s="126">
        <v>13.5</v>
      </c>
      <c r="H98" s="112">
        <f t="shared" si="31"/>
        <v>-0.4900000000000002</v>
      </c>
      <c r="I98" s="213">
        <f>G98/F98</f>
        <v>0.9649749821300929</v>
      </c>
      <c r="J98" s="117">
        <f t="shared" si="35"/>
        <v>-33.913</v>
      </c>
      <c r="K98" s="147">
        <f>G98/E98</f>
        <v>0.28473203551768506</v>
      </c>
      <c r="L98" s="117"/>
      <c r="M98" s="117"/>
      <c r="N98" s="117"/>
      <c r="O98" s="117">
        <v>37.96</v>
      </c>
      <c r="P98" s="117">
        <f t="shared" si="32"/>
        <v>9.452999999999996</v>
      </c>
      <c r="Q98" s="147">
        <f t="shared" si="33"/>
        <v>1.2490252897787144</v>
      </c>
      <c r="R98" s="131">
        <v>7.6</v>
      </c>
      <c r="S98" s="117">
        <f t="shared" si="29"/>
        <v>5.9</v>
      </c>
      <c r="T98" s="147">
        <f t="shared" si="30"/>
        <v>1.7763157894736843</v>
      </c>
      <c r="U98" s="112">
        <f>F98-березень!F98</f>
        <v>5.86478</v>
      </c>
      <c r="V98" s="118">
        <f>G98-березень!G98</f>
        <v>0.5899999999999999</v>
      </c>
      <c r="W98" s="117">
        <f t="shared" si="34"/>
        <v>-5.27478</v>
      </c>
      <c r="X98" s="147">
        <f>V98/U98</f>
        <v>0.10060053403537726</v>
      </c>
      <c r="Y98" s="197">
        <f t="shared" si="16"/>
        <v>0.5272904996949699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14687.869</v>
      </c>
      <c r="G100" s="183">
        <f>G86+G87+G92+G97+G98</f>
        <v>6466.35</v>
      </c>
      <c r="H100" s="184">
        <f>G100-F100</f>
        <v>-8221.519</v>
      </c>
      <c r="I100" s="217">
        <f>G100/F100</f>
        <v>0.44025106705404304</v>
      </c>
      <c r="J100" s="177">
        <f>G100-E100</f>
        <v>-49480.102000000006</v>
      </c>
      <c r="K100" s="178">
        <f>G100/E100</f>
        <v>0.11558105597116328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4413.47</v>
      </c>
      <c r="S100" s="177">
        <f>G100-R100</f>
        <v>2052.88</v>
      </c>
      <c r="T100" s="178">
        <f t="shared" si="30"/>
        <v>1.4651396746777479</v>
      </c>
      <c r="U100" s="183">
        <f>U86+U87+U92+U97+U98</f>
        <v>3025.5647799999997</v>
      </c>
      <c r="V100" s="183">
        <f>V86+V87+V92+V97+V98</f>
        <v>606.2100000000006</v>
      </c>
      <c r="W100" s="177">
        <f>V100-U100</f>
        <v>-2419.354779999999</v>
      </c>
      <c r="X100" s="178">
        <f>V100/U100</f>
        <v>0.200362591476227</v>
      </c>
      <c r="Y100" s="197">
        <f>T100-Q100</f>
        <v>-0.15359837027770462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1683864.152</v>
      </c>
      <c r="F101" s="183">
        <f>F79+F100</f>
        <v>516979.229</v>
      </c>
      <c r="G101" s="183">
        <f>G79+G100</f>
        <v>449286.83999999997</v>
      </c>
      <c r="H101" s="184">
        <f>G101-F101</f>
        <v>-67692.38900000002</v>
      </c>
      <c r="I101" s="217">
        <f>G101/F101</f>
        <v>0.8690616852616335</v>
      </c>
      <c r="J101" s="177">
        <f>G101-E101</f>
        <v>-1234577.312</v>
      </c>
      <c r="K101" s="178">
        <f>G101/E101</f>
        <v>0.26681893516550137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424175.22</v>
      </c>
      <c r="S101" s="177">
        <f>S79+S100</f>
        <v>25111.61999999999</v>
      </c>
      <c r="T101" s="178">
        <f t="shared" si="30"/>
        <v>1.0592010537532108</v>
      </c>
      <c r="U101" s="184">
        <f>U79+U100</f>
        <v>133121.36778</v>
      </c>
      <c r="V101" s="184">
        <f>V79+V100</f>
        <v>64805.91999999999</v>
      </c>
      <c r="W101" s="177">
        <f>V101-U101</f>
        <v>-68315.44778000002</v>
      </c>
      <c r="X101" s="178">
        <f>V101/U101</f>
        <v>0.4868183153518977</v>
      </c>
      <c r="Y101" s="197">
        <f>T101-Q101</f>
        <v>-0.11540358857094501</v>
      </c>
    </row>
    <row r="102" spans="2:24" ht="15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143</v>
      </c>
      <c r="C103" s="259">
        <v>8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>
      <c r="B104" s="261" t="s">
        <v>145</v>
      </c>
      <c r="C104" s="262"/>
      <c r="D104" s="4" t="s">
        <v>24</v>
      </c>
      <c r="F104" s="78"/>
      <c r="G104" s="262">
        <f>IF(H79&lt;0,ABS(H79/C103),0)</f>
        <v>7433.858749999999</v>
      </c>
      <c r="H104" s="263"/>
      <c r="I104" s="263"/>
      <c r="J104" s="263"/>
      <c r="V104" s="262">
        <f>IF(W79&lt;0,ABS(W79/C103),0)</f>
        <v>8237.011625000001</v>
      </c>
    </row>
    <row r="105" spans="2:7" ht="30.75">
      <c r="B105" s="264" t="s">
        <v>146</v>
      </c>
      <c r="C105" s="265">
        <v>43207</v>
      </c>
      <c r="D105" s="262"/>
      <c r="E105" s="262">
        <v>4107.6</v>
      </c>
      <c r="F105" s="78"/>
      <c r="G105" s="4" t="s">
        <v>147</v>
      </c>
    </row>
    <row r="106" spans="3:10" ht="15">
      <c r="C106" s="265">
        <v>43206</v>
      </c>
      <c r="D106" s="262"/>
      <c r="E106" s="262">
        <v>5765.46</v>
      </c>
      <c r="F106" s="78"/>
      <c r="G106" s="387"/>
      <c r="H106" s="387"/>
      <c r="I106" s="267"/>
      <c r="J106" s="268"/>
    </row>
    <row r="107" spans="3:10" ht="15">
      <c r="C107" s="265">
        <v>43203</v>
      </c>
      <c r="D107" s="262"/>
      <c r="E107" s="262">
        <v>9610.8</v>
      </c>
      <c r="F107" s="78"/>
      <c r="G107" s="387"/>
      <c r="H107" s="387"/>
      <c r="I107" s="267"/>
      <c r="J107" s="269"/>
    </row>
    <row r="108" spans="3:10" ht="15">
      <c r="C108" s="265"/>
      <c r="D108" s="4"/>
      <c r="F108" s="270"/>
      <c r="G108" s="388"/>
      <c r="H108" s="388"/>
      <c r="I108" s="271"/>
      <c r="J108" s="268"/>
    </row>
    <row r="109" spans="2:10" ht="16.5">
      <c r="B109" s="389" t="s">
        <v>148</v>
      </c>
      <c r="C109" s="390"/>
      <c r="D109" s="272"/>
      <c r="E109" s="324">
        <v>1.88291</v>
      </c>
      <c r="F109" s="274" t="s">
        <v>149</v>
      </c>
      <c r="G109" s="387"/>
      <c r="H109" s="387"/>
      <c r="I109" s="275"/>
      <c r="J109" s="268"/>
    </row>
    <row r="110" spans="4:10" ht="15">
      <c r="D110" s="4"/>
      <c r="F110" s="270"/>
      <c r="G110" s="387"/>
      <c r="H110" s="387"/>
      <c r="I110" s="270"/>
      <c r="J110" s="273"/>
    </row>
    <row r="111" spans="2:10" ht="15" customHeight="1">
      <c r="B111" s="386"/>
      <c r="C111" s="386"/>
      <c r="D111" s="277"/>
      <c r="E111" s="278"/>
      <c r="F111" s="270"/>
      <c r="G111" s="387"/>
      <c r="H111" s="387"/>
      <c r="I111" s="270"/>
      <c r="J111" s="273"/>
    </row>
    <row r="112" spans="2:24" ht="15" hidden="1">
      <c r="B112" s="279" t="s">
        <v>150</v>
      </c>
      <c r="D112" s="270">
        <f>D60+D63+D64</f>
        <v>2095</v>
      </c>
      <c r="E112" s="270">
        <f aca="true" t="shared" si="36" ref="E112:W112">E60+E63+E64</f>
        <v>2095</v>
      </c>
      <c r="F112" s="270">
        <f t="shared" si="36"/>
        <v>645</v>
      </c>
      <c r="G112" s="325">
        <f t="shared" si="36"/>
        <v>590.93</v>
      </c>
      <c r="H112" s="270">
        <f t="shared" si="36"/>
        <v>-54.07000000000002</v>
      </c>
      <c r="I112" s="326">
        <f>G112/F112</f>
        <v>0.9161705426356589</v>
      </c>
      <c r="J112" s="270">
        <f t="shared" si="36"/>
        <v>-1504.0700000000002</v>
      </c>
      <c r="K112" s="326">
        <f>G112/E112</f>
        <v>0.2820668257756563</v>
      </c>
      <c r="L112" s="270">
        <f t="shared" si="36"/>
        <v>0</v>
      </c>
      <c r="M112" s="270">
        <f t="shared" si="36"/>
        <v>0</v>
      </c>
      <c r="N112" s="270">
        <f t="shared" si="36"/>
        <v>0</v>
      </c>
      <c r="O112" s="270">
        <f t="shared" si="36"/>
        <v>1956.6200000000001</v>
      </c>
      <c r="P112" s="270">
        <f t="shared" si="36"/>
        <v>138.37999999999994</v>
      </c>
      <c r="Q112" s="326">
        <f>E112/O112</f>
        <v>1.0707240036389283</v>
      </c>
      <c r="R112" s="270">
        <f t="shared" si="36"/>
        <v>580.2</v>
      </c>
      <c r="S112" s="270">
        <f t="shared" si="36"/>
        <v>10.729999999999945</v>
      </c>
      <c r="T112" s="326">
        <f>G112/R112</f>
        <v>1.018493622888659</v>
      </c>
      <c r="U112" s="270">
        <f t="shared" si="36"/>
        <v>168</v>
      </c>
      <c r="V112" s="280">
        <f t="shared" si="36"/>
        <v>100.67999999999999</v>
      </c>
      <c r="W112" s="270">
        <f t="shared" si="36"/>
        <v>-67.32000000000001</v>
      </c>
      <c r="X112" s="326">
        <f>V112/U112</f>
        <v>0.5992857142857142</v>
      </c>
    </row>
    <row r="113" spans="4:9" ht="15" hidden="1">
      <c r="D113" s="260"/>
      <c r="F113" s="78"/>
      <c r="G113" s="4"/>
      <c r="I113" s="262"/>
    </row>
    <row r="114" spans="2:10" ht="15" hidden="1">
      <c r="B114" s="4" t="s">
        <v>162</v>
      </c>
      <c r="D114" s="262">
        <f>D9+D15+D18+D19+D23+D54+D57+D59+D71+D77+D93+D95</f>
        <v>1592543.3</v>
      </c>
      <c r="E114" s="262">
        <f>E9+E15+E18+E19+E23+E54+E57+E59+E71+E77+E93+E95</f>
        <v>1592543.3</v>
      </c>
      <c r="F114" s="262">
        <f>F9+F15+F18+F19+F23+F54+F57+F59+F71+F77+F93+F95</f>
        <v>490787.87</v>
      </c>
      <c r="G114" s="281">
        <f>G9+G15+G18+G19+G23+G54+G57+G59+G71+G77+G93+G95</f>
        <v>430334.51999999996</v>
      </c>
      <c r="H114" s="262">
        <f>H9+H15+H18+H19+H23+H54+H57+H59+H71+H77+H93+H95</f>
        <v>-60453.35000000003</v>
      </c>
      <c r="I114" s="163">
        <f>G114/F114</f>
        <v>0.8768238709730132</v>
      </c>
      <c r="J114" s="262"/>
    </row>
    <row r="115" spans="2:10" ht="15" hidden="1">
      <c r="B115" s="4" t="s">
        <v>163</v>
      </c>
      <c r="D115" s="262">
        <f>D55+D58+D60+D63+D64+D65+D72+D76+D88+D89+D90+D91+D98</f>
        <v>65675.813</v>
      </c>
      <c r="E115" s="262">
        <f>E55+E58+E60+E63+E64+E65+E72+E76+E88+E89+E90+E91+E98</f>
        <v>69036.852</v>
      </c>
      <c r="F115" s="262">
        <f>F55+F58+F60+F63+F64+F65+F72+F76+F88+F89+F90+F91+F98</f>
        <v>18389.719</v>
      </c>
      <c r="G115" s="281">
        <f>G55+G58+G60+G63+G64+G65+G72+G76+G88+G89+G90+G91+G98</f>
        <v>11264.109999999999</v>
      </c>
      <c r="H115" s="262">
        <f>H55+H58+H60+H63+H64+H65+H72+H76+H88+H89+H90+H91+H98</f>
        <v>-7125.6089999999995</v>
      </c>
      <c r="I115" s="163">
        <f>G115/F115</f>
        <v>0.6125221380489826</v>
      </c>
      <c r="J115" s="262"/>
    </row>
    <row r="116" spans="2:10" ht="15" hidden="1">
      <c r="B116" s="4" t="s">
        <v>164</v>
      </c>
      <c r="D116" s="262">
        <f>D56+D62+D66+D78</f>
        <v>22284</v>
      </c>
      <c r="E116" s="262">
        <f>E56+E62+E66+E78</f>
        <v>22284</v>
      </c>
      <c r="F116" s="262">
        <f>F56+F62+F66+F78</f>
        <v>7801.64</v>
      </c>
      <c r="G116" s="281">
        <f>G56+G62+G66+G78</f>
        <v>7678.7699999999995</v>
      </c>
      <c r="H116" s="262">
        <f>H56+H62+H66+H78</f>
        <v>-122.8699999999999</v>
      </c>
      <c r="I116" s="163">
        <f>G116/F116</f>
        <v>0.9842507472787771</v>
      </c>
      <c r="J116" s="262"/>
    </row>
    <row r="117" spans="2:10" ht="15" hidden="1">
      <c r="B117" s="320" t="s">
        <v>165</v>
      </c>
      <c r="C117" s="328"/>
      <c r="D117" s="329">
        <f>D114+D115+D116</f>
        <v>1680503.1130000001</v>
      </c>
      <c r="E117" s="329">
        <f>E114+E115+E116</f>
        <v>1683864.152</v>
      </c>
      <c r="F117" s="329">
        <f>F114+F115+F116</f>
        <v>516979.229</v>
      </c>
      <c r="G117" s="330">
        <f>G114+G115+G116</f>
        <v>449277.39999999997</v>
      </c>
      <c r="H117" s="329">
        <f>H114+H115+H116</f>
        <v>-67701.82900000003</v>
      </c>
      <c r="I117" s="331">
        <f>G117/F117</f>
        <v>0.8690434253404018</v>
      </c>
      <c r="J117" s="262"/>
    </row>
    <row r="118" spans="4:10" ht="15" hidden="1">
      <c r="D118" s="262">
        <f>D117-D101</f>
        <v>0</v>
      </c>
      <c r="E118" s="262">
        <f>E117-E101</f>
        <v>0</v>
      </c>
      <c r="F118" s="262">
        <f>F117-F101</f>
        <v>0</v>
      </c>
      <c r="G118" s="281">
        <f>G117-G101</f>
        <v>-9.440000000002328</v>
      </c>
      <c r="H118" s="262">
        <f>H117-H101</f>
        <v>-9.440000000002328</v>
      </c>
      <c r="I118" s="163"/>
      <c r="J118" s="262"/>
    </row>
    <row r="119" spans="4:7" ht="15" hidden="1">
      <c r="D119" s="4"/>
      <c r="E119" s="4" t="s">
        <v>147</v>
      </c>
      <c r="F119" s="78"/>
      <c r="G119" s="4"/>
    </row>
    <row r="120" spans="2:7" ht="15" hidden="1">
      <c r="B120" s="266"/>
      <c r="D120" s="4"/>
      <c r="E120" s="262"/>
      <c r="F120" s="78"/>
      <c r="G120" s="4"/>
    </row>
    <row r="121" spans="2:8" ht="15" hidden="1">
      <c r="B121" s="266"/>
      <c r="D121" s="4"/>
      <c r="E121" s="262"/>
      <c r="F121" s="78"/>
      <c r="G121" s="4"/>
      <c r="H121" s="262"/>
    </row>
    <row r="122" spans="4:11" ht="15" hidden="1">
      <c r="D122" s="3"/>
      <c r="F122" s="78"/>
      <c r="G122" s="4"/>
      <c r="H122" s="262"/>
      <c r="I122" s="3"/>
      <c r="K122" s="3"/>
    </row>
    <row r="123" spans="2:12" ht="18" hidden="1">
      <c r="B123" s="83" t="s">
        <v>151</v>
      </c>
      <c r="C123" s="34">
        <v>25000000</v>
      </c>
      <c r="D123" s="125">
        <v>90449.655</v>
      </c>
      <c r="E123" s="348">
        <v>18102.06</v>
      </c>
      <c r="F123" s="348">
        <v>20254.32</v>
      </c>
      <c r="G123" s="349">
        <v>2152.2599999999984</v>
      </c>
      <c r="H123" s="114">
        <f>G123-F123</f>
        <v>-18102.06</v>
      </c>
      <c r="I123" s="147">
        <f aca="true" t="shared" si="37" ref="I123:I130">G123/F123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83"/>
      <c r="D124" s="284">
        <f>D123+D100</f>
        <v>143035.068</v>
      </c>
      <c r="E124" s="284">
        <f aca="true" t="shared" si="38" ref="E124:J124">E123+E100</f>
        <v>74048.512</v>
      </c>
      <c r="F124" s="284">
        <f t="shared" si="38"/>
        <v>34942.189</v>
      </c>
      <c r="G124" s="284">
        <f t="shared" si="38"/>
        <v>8618.609999999999</v>
      </c>
      <c r="H124" s="284">
        <f t="shared" si="38"/>
        <v>-26323.579</v>
      </c>
      <c r="I124" s="337">
        <f t="shared" si="37"/>
        <v>0.24665340800486196</v>
      </c>
      <c r="J124" s="284">
        <f t="shared" si="38"/>
        <v>-65429.90200000001</v>
      </c>
      <c r="K124" s="337">
        <f>G124/F124</f>
        <v>0.24665340800486196</v>
      </c>
      <c r="L124" s="3"/>
    </row>
    <row r="125" spans="2:12" ht="17.25" hidden="1">
      <c r="B125" s="285" t="s">
        <v>152</v>
      </c>
      <c r="C125" s="283"/>
      <c r="D125" s="284">
        <f>D101+D123</f>
        <v>1770952.768</v>
      </c>
      <c r="E125" s="284">
        <f aca="true" t="shared" si="39" ref="E125:J125">E101+E123</f>
        <v>1701966.212</v>
      </c>
      <c r="F125" s="284">
        <f t="shared" si="39"/>
        <v>537233.549</v>
      </c>
      <c r="G125" s="284">
        <f t="shared" si="39"/>
        <v>451439.1</v>
      </c>
      <c r="H125" s="284">
        <f t="shared" si="39"/>
        <v>-85794.44900000002</v>
      </c>
      <c r="I125" s="337">
        <f t="shared" si="37"/>
        <v>0.8403032551490934</v>
      </c>
      <c r="J125" s="284">
        <f t="shared" si="39"/>
        <v>-1250527.112</v>
      </c>
      <c r="K125" s="337">
        <f>G125/F125</f>
        <v>0.8403032551490934</v>
      </c>
      <c r="L125" s="3"/>
    </row>
    <row r="126" spans="2:12" ht="15" hidden="1">
      <c r="B126" s="286" t="s">
        <v>153</v>
      </c>
      <c r="C126" s="287">
        <v>40000000</v>
      </c>
      <c r="D126" s="288">
        <v>1499675.196</v>
      </c>
      <c r="E126" s="288">
        <v>1499675.2</v>
      </c>
      <c r="F126" s="350">
        <v>322086.73</v>
      </c>
      <c r="G126" s="350"/>
      <c r="H126" s="288">
        <f>G126-F126</f>
        <v>-322086.73</v>
      </c>
      <c r="I126" s="338">
        <f t="shared" si="37"/>
        <v>0</v>
      </c>
      <c r="J126" s="29">
        <f>G126-E126</f>
        <v>-1499675.2</v>
      </c>
      <c r="K126" s="338">
        <f>G126/E126</f>
        <v>0</v>
      </c>
      <c r="L126" s="3"/>
    </row>
    <row r="127" spans="2:12" ht="26.25" hidden="1">
      <c r="B127" s="340" t="s">
        <v>169</v>
      </c>
      <c r="C127" s="341">
        <v>41033900</v>
      </c>
      <c r="D127" s="342">
        <v>249086.1</v>
      </c>
      <c r="E127" s="343">
        <v>249086.1</v>
      </c>
      <c r="F127" s="343">
        <v>38359.2</v>
      </c>
      <c r="G127" s="342">
        <v>38359.2</v>
      </c>
      <c r="H127" s="342">
        <f>G127-F127</f>
        <v>0</v>
      </c>
      <c r="I127" s="145">
        <f t="shared" si="37"/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340" t="s">
        <v>170</v>
      </c>
      <c r="C128" s="341">
        <v>41034200</v>
      </c>
      <c r="D128" s="342">
        <v>226186</v>
      </c>
      <c r="E128" s="342">
        <v>226186</v>
      </c>
      <c r="F128" s="342">
        <v>44005.9</v>
      </c>
      <c r="G128" s="342">
        <v>44005.9</v>
      </c>
      <c r="H128" s="342">
        <f>G128-F128</f>
        <v>0</v>
      </c>
      <c r="I128" s="145">
        <f t="shared" si="37"/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286" t="s">
        <v>166</v>
      </c>
      <c r="C129" s="287"/>
      <c r="D129" s="288">
        <v>0</v>
      </c>
      <c r="E129" s="288">
        <v>0</v>
      </c>
      <c r="F129" s="288">
        <v>0</v>
      </c>
      <c r="G129" s="288">
        <v>0</v>
      </c>
      <c r="H129" s="288">
        <f>G129-F129</f>
        <v>0</v>
      </c>
      <c r="I129" s="338" t="e">
        <f t="shared" si="37"/>
        <v>#DIV/0!</v>
      </c>
      <c r="J129" s="29">
        <f>G129-E129</f>
        <v>0</v>
      </c>
      <c r="K129" s="338" t="e">
        <f>G129/E129</f>
        <v>#DIV/0!</v>
      </c>
      <c r="L129" s="3"/>
    </row>
    <row r="130" spans="2:12" ht="18" hidden="1">
      <c r="B130" s="289" t="s">
        <v>154</v>
      </c>
      <c r="C130" s="290"/>
      <c r="D130" s="291">
        <f>D125+D126+D129</f>
        <v>3270627.9639999997</v>
      </c>
      <c r="E130" s="291">
        <f aca="true" t="shared" si="40" ref="E130:J130">E125+E126+E129</f>
        <v>3201641.412</v>
      </c>
      <c r="F130" s="291">
        <f t="shared" si="40"/>
        <v>859320.279</v>
      </c>
      <c r="G130" s="291">
        <f t="shared" si="40"/>
        <v>451439.1</v>
      </c>
      <c r="H130" s="291">
        <f t="shared" si="40"/>
        <v>-407881.179</v>
      </c>
      <c r="I130" s="339">
        <f t="shared" si="37"/>
        <v>0.5253444042136937</v>
      </c>
      <c r="J130" s="291">
        <f t="shared" si="40"/>
        <v>-2750202.312</v>
      </c>
      <c r="K130" s="339">
        <f>G130/E130</f>
        <v>0.14100239280638088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2"/>
      <c r="F133" s="78"/>
      <c r="G133" s="4"/>
    </row>
    <row r="134" spans="4:7" ht="15" hidden="1">
      <c r="D134" s="262"/>
      <c r="F134" s="78"/>
      <c r="G134" s="4"/>
    </row>
    <row r="135" spans="4:7" ht="15" hidden="1">
      <c r="D135" s="262"/>
      <c r="F135" s="78"/>
      <c r="G135" s="4"/>
    </row>
    <row r="136" spans="4:7" ht="15" hidden="1">
      <c r="D136" s="262"/>
      <c r="F136" s="78"/>
      <c r="G136" s="4"/>
    </row>
    <row r="137" spans="2:7" ht="15" hidden="1">
      <c r="B137" s="292" t="s">
        <v>155</v>
      </c>
      <c r="D137" s="4"/>
      <c r="F137" s="78"/>
      <c r="G137" s="4"/>
    </row>
    <row r="138" spans="2:26" ht="30.75" hidden="1">
      <c r="B138" s="293" t="s">
        <v>156</v>
      </c>
      <c r="C138" s="294">
        <v>13010200</v>
      </c>
      <c r="D138" s="295">
        <f>D17</f>
        <v>0</v>
      </c>
      <c r="E138" s="295">
        <f aca="true" t="shared" si="41" ref="E138:X139">E17</f>
        <v>0</v>
      </c>
      <c r="F138" s="295">
        <f t="shared" si="41"/>
        <v>0</v>
      </c>
      <c r="G138" s="295">
        <f t="shared" si="41"/>
        <v>0</v>
      </c>
      <c r="H138" s="295">
        <f t="shared" si="41"/>
        <v>0</v>
      </c>
      <c r="I138" s="315">
        <f t="shared" si="41"/>
        <v>0</v>
      </c>
      <c r="J138" s="295">
        <f t="shared" si="41"/>
        <v>0</v>
      </c>
      <c r="K138" s="315">
        <f t="shared" si="41"/>
        <v>0</v>
      </c>
      <c r="L138" s="295">
        <f t="shared" si="41"/>
        <v>0</v>
      </c>
      <c r="M138" s="295">
        <f t="shared" si="41"/>
        <v>0</v>
      </c>
      <c r="N138" s="295">
        <f t="shared" si="41"/>
        <v>0</v>
      </c>
      <c r="O138" s="295">
        <f t="shared" si="41"/>
        <v>0.49</v>
      </c>
      <c r="P138" s="295">
        <f t="shared" si="41"/>
        <v>-0.49</v>
      </c>
      <c r="Q138" s="315">
        <f t="shared" si="41"/>
        <v>0</v>
      </c>
      <c r="R138" s="295">
        <f t="shared" si="41"/>
        <v>0</v>
      </c>
      <c r="S138" s="295">
        <f t="shared" si="41"/>
        <v>0</v>
      </c>
      <c r="T138" s="315" t="e">
        <f t="shared" si="41"/>
        <v>#DIV/0!</v>
      </c>
      <c r="U138" s="295">
        <f t="shared" si="41"/>
        <v>0</v>
      </c>
      <c r="V138" s="295">
        <f t="shared" si="41"/>
        <v>0</v>
      </c>
      <c r="W138" s="295">
        <f t="shared" si="41"/>
        <v>0</v>
      </c>
      <c r="X138" s="315">
        <f t="shared" si="41"/>
        <v>0</v>
      </c>
      <c r="Y138" s="336" t="e">
        <f>T138-Q138</f>
        <v>#DIV/0!</v>
      </c>
      <c r="Z138" s="163"/>
    </row>
    <row r="139" spans="2:26" ht="30.75" hidden="1">
      <c r="B139" s="297" t="s">
        <v>157</v>
      </c>
      <c r="C139" s="294">
        <v>13030200</v>
      </c>
      <c r="D139" s="295">
        <f>D18</f>
        <v>235.6</v>
      </c>
      <c r="E139" s="295">
        <f t="shared" si="41"/>
        <v>235.6</v>
      </c>
      <c r="F139" s="295">
        <f t="shared" si="41"/>
        <v>120</v>
      </c>
      <c r="G139" s="295">
        <f t="shared" si="41"/>
        <v>194.24</v>
      </c>
      <c r="H139" s="295">
        <f t="shared" si="41"/>
        <v>74.24000000000001</v>
      </c>
      <c r="I139" s="315">
        <f t="shared" si="41"/>
        <v>1.6186666666666667</v>
      </c>
      <c r="J139" s="295">
        <f t="shared" si="41"/>
        <v>-41.359999999999985</v>
      </c>
      <c r="K139" s="315">
        <f t="shared" si="41"/>
        <v>82.44482173174873</v>
      </c>
      <c r="L139" s="295">
        <f t="shared" si="41"/>
        <v>0</v>
      </c>
      <c r="M139" s="295">
        <f t="shared" si="41"/>
        <v>0</v>
      </c>
      <c r="N139" s="295">
        <f t="shared" si="41"/>
        <v>0</v>
      </c>
      <c r="O139" s="295">
        <f t="shared" si="41"/>
        <v>220.59</v>
      </c>
      <c r="P139" s="295">
        <f t="shared" si="41"/>
        <v>15.009999999999991</v>
      </c>
      <c r="Q139" s="315">
        <f t="shared" si="41"/>
        <v>1.0680447889750215</v>
      </c>
      <c r="R139" s="295">
        <f t="shared" si="41"/>
        <v>118.46</v>
      </c>
      <c r="S139" s="295">
        <f t="shared" si="41"/>
        <v>75.78000000000002</v>
      </c>
      <c r="T139" s="315">
        <f t="shared" si="41"/>
        <v>1.639709606618268</v>
      </c>
      <c r="U139" s="295">
        <f t="shared" si="41"/>
        <v>0</v>
      </c>
      <c r="V139" s="295">
        <f t="shared" si="41"/>
        <v>0</v>
      </c>
      <c r="W139" s="295">
        <f t="shared" si="41"/>
        <v>0</v>
      </c>
      <c r="X139" s="315" t="e">
        <f t="shared" si="41"/>
        <v>#DIV/0!</v>
      </c>
      <c r="Y139" s="336">
        <f aca="true" t="shared" si="42" ref="Y139:Y161">T139-Q139</f>
        <v>0.5716648176432464</v>
      </c>
      <c r="Z139" s="163"/>
    </row>
    <row r="140" spans="2:26" ht="15" hidden="1">
      <c r="B140" s="298" t="s">
        <v>51</v>
      </c>
      <c r="C140" s="299">
        <v>21080500</v>
      </c>
      <c r="D140" s="300">
        <f>D56</f>
        <v>158</v>
      </c>
      <c r="E140" s="300">
        <f aca="true" t="shared" si="43" ref="E140:X143">E56</f>
        <v>158</v>
      </c>
      <c r="F140" s="300">
        <f t="shared" si="43"/>
        <v>42</v>
      </c>
      <c r="G140" s="300">
        <f t="shared" si="43"/>
        <v>51.82</v>
      </c>
      <c r="H140" s="300">
        <f t="shared" si="43"/>
        <v>9.82</v>
      </c>
      <c r="I140" s="332">
        <f t="shared" si="43"/>
        <v>1.233809523809524</v>
      </c>
      <c r="J140" s="300">
        <f t="shared" si="43"/>
        <v>-106.18</v>
      </c>
      <c r="K140" s="332">
        <f t="shared" si="43"/>
        <v>0.3279746835443038</v>
      </c>
      <c r="L140" s="300">
        <f t="shared" si="43"/>
        <v>0</v>
      </c>
      <c r="M140" s="300">
        <f t="shared" si="43"/>
        <v>0</v>
      </c>
      <c r="N140" s="300">
        <f t="shared" si="43"/>
        <v>0</v>
      </c>
      <c r="O140" s="300">
        <f t="shared" si="43"/>
        <v>153.3</v>
      </c>
      <c r="P140" s="300">
        <f t="shared" si="43"/>
        <v>4.699999999999989</v>
      </c>
      <c r="Q140" s="332">
        <f t="shared" si="43"/>
        <v>1.030658838878017</v>
      </c>
      <c r="R140" s="300">
        <f t="shared" si="43"/>
        <v>82.8</v>
      </c>
      <c r="S140" s="300">
        <f t="shared" si="43"/>
        <v>-30.979999999999997</v>
      </c>
      <c r="T140" s="332">
        <f t="shared" si="43"/>
        <v>0.6258454106280193</v>
      </c>
      <c r="U140" s="300">
        <f t="shared" si="43"/>
        <v>14</v>
      </c>
      <c r="V140" s="300">
        <f t="shared" si="43"/>
        <v>0</v>
      </c>
      <c r="W140" s="300">
        <f t="shared" si="43"/>
        <v>-14</v>
      </c>
      <c r="X140" s="315">
        <f t="shared" si="43"/>
        <v>0</v>
      </c>
      <c r="Y140" s="336">
        <f t="shared" si="42"/>
        <v>-0.40481342824999755</v>
      </c>
      <c r="Z140" s="163"/>
    </row>
    <row r="141" spans="2:26" ht="30.75" hidden="1">
      <c r="B141" s="302" t="s">
        <v>34</v>
      </c>
      <c r="C141" s="303">
        <v>21080900</v>
      </c>
      <c r="D141" s="304">
        <f>D57</f>
        <v>13</v>
      </c>
      <c r="E141" s="304">
        <f t="shared" si="43"/>
        <v>13</v>
      </c>
      <c r="F141" s="304">
        <f t="shared" si="43"/>
        <v>5</v>
      </c>
      <c r="G141" s="304">
        <f t="shared" si="43"/>
        <v>2.02</v>
      </c>
      <c r="H141" s="304">
        <f t="shared" si="43"/>
        <v>-2.98</v>
      </c>
      <c r="I141" s="333">
        <f t="shared" si="43"/>
        <v>0.404</v>
      </c>
      <c r="J141" s="304">
        <f t="shared" si="43"/>
        <v>-10.98</v>
      </c>
      <c r="K141" s="333">
        <f t="shared" si="43"/>
        <v>0.1553846153846154</v>
      </c>
      <c r="L141" s="304">
        <f t="shared" si="43"/>
        <v>0</v>
      </c>
      <c r="M141" s="304">
        <f t="shared" si="43"/>
        <v>0</v>
      </c>
      <c r="N141" s="304">
        <f t="shared" si="43"/>
        <v>0</v>
      </c>
      <c r="O141" s="304">
        <f t="shared" si="43"/>
        <v>12.95</v>
      </c>
      <c r="P141" s="304">
        <f t="shared" si="43"/>
        <v>0.05000000000000071</v>
      </c>
      <c r="Q141" s="333">
        <f t="shared" si="43"/>
        <v>1.0038610038610039</v>
      </c>
      <c r="R141" s="304">
        <f t="shared" si="43"/>
        <v>2.03</v>
      </c>
      <c r="S141" s="304">
        <f t="shared" si="43"/>
        <v>-0.009999999999999787</v>
      </c>
      <c r="T141" s="333">
        <f t="shared" si="43"/>
        <v>0</v>
      </c>
      <c r="U141" s="304">
        <f t="shared" si="43"/>
        <v>1</v>
      </c>
      <c r="V141" s="304">
        <f t="shared" si="43"/>
        <v>0</v>
      </c>
      <c r="W141" s="304">
        <f t="shared" si="43"/>
        <v>-1</v>
      </c>
      <c r="X141" s="335">
        <f t="shared" si="43"/>
        <v>0</v>
      </c>
      <c r="Y141" s="336">
        <f t="shared" si="42"/>
        <v>-1.0038610038610039</v>
      </c>
      <c r="Z141" s="163"/>
    </row>
    <row r="142" spans="2:26" ht="15" hidden="1">
      <c r="B142" s="297" t="s">
        <v>16</v>
      </c>
      <c r="C142" s="294">
        <v>21081100</v>
      </c>
      <c r="D142" s="295">
        <f>D58</f>
        <v>744</v>
      </c>
      <c r="E142" s="295">
        <f t="shared" si="43"/>
        <v>744</v>
      </c>
      <c r="F142" s="295">
        <f t="shared" si="43"/>
        <v>208.43</v>
      </c>
      <c r="G142" s="295">
        <f t="shared" si="43"/>
        <v>239.37</v>
      </c>
      <c r="H142" s="295">
        <f t="shared" si="43"/>
        <v>30.939999999999998</v>
      </c>
      <c r="I142" s="315">
        <f t="shared" si="43"/>
        <v>1.1484431223912104</v>
      </c>
      <c r="J142" s="295">
        <f t="shared" si="43"/>
        <v>-504.63</v>
      </c>
      <c r="K142" s="315">
        <f t="shared" si="43"/>
        <v>0.3217338709677419</v>
      </c>
      <c r="L142" s="295">
        <f t="shared" si="43"/>
        <v>0</v>
      </c>
      <c r="M142" s="295">
        <f t="shared" si="43"/>
        <v>0</v>
      </c>
      <c r="N142" s="295">
        <f t="shared" si="43"/>
        <v>0</v>
      </c>
      <c r="O142" s="295">
        <f t="shared" si="43"/>
        <v>705.31</v>
      </c>
      <c r="P142" s="295">
        <f t="shared" si="43"/>
        <v>38.690000000000055</v>
      </c>
      <c r="Q142" s="315">
        <f t="shared" si="43"/>
        <v>1.0548553118486907</v>
      </c>
      <c r="R142" s="295">
        <f t="shared" si="43"/>
        <v>394.48</v>
      </c>
      <c r="S142" s="295">
        <f t="shared" si="43"/>
        <v>-155.11</v>
      </c>
      <c r="T142" s="315">
        <f t="shared" si="43"/>
        <v>0.6067988237679983</v>
      </c>
      <c r="U142" s="295">
        <f t="shared" si="43"/>
        <v>60</v>
      </c>
      <c r="V142" s="295">
        <f t="shared" si="43"/>
        <v>14.780000000000001</v>
      </c>
      <c r="W142" s="295">
        <f t="shared" si="43"/>
        <v>-45.22</v>
      </c>
      <c r="X142" s="315">
        <f t="shared" si="43"/>
        <v>0.24633333333333335</v>
      </c>
      <c r="Y142" s="336">
        <f t="shared" si="42"/>
        <v>-0.4480564880806924</v>
      </c>
      <c r="Z142" s="163"/>
    </row>
    <row r="143" spans="2:26" ht="46.5" hidden="1">
      <c r="B143" s="297" t="s">
        <v>67</v>
      </c>
      <c r="C143" s="294">
        <v>21081500</v>
      </c>
      <c r="D143" s="295">
        <f>D59</f>
        <v>115.5</v>
      </c>
      <c r="E143" s="295">
        <f t="shared" si="43"/>
        <v>115.5</v>
      </c>
      <c r="F143" s="295">
        <f t="shared" si="43"/>
        <v>30</v>
      </c>
      <c r="G143" s="295">
        <f t="shared" si="43"/>
        <v>25.62</v>
      </c>
      <c r="H143" s="295">
        <f t="shared" si="43"/>
        <v>-4.379999999999999</v>
      </c>
      <c r="I143" s="315">
        <f t="shared" si="43"/>
        <v>0.854</v>
      </c>
      <c r="J143" s="295">
        <f t="shared" si="43"/>
        <v>-89.88</v>
      </c>
      <c r="K143" s="315">
        <f t="shared" si="43"/>
        <v>0.22181818181818183</v>
      </c>
      <c r="L143" s="295">
        <f t="shared" si="43"/>
        <v>0</v>
      </c>
      <c r="M143" s="295">
        <f t="shared" si="43"/>
        <v>0</v>
      </c>
      <c r="N143" s="295">
        <f t="shared" si="43"/>
        <v>0</v>
      </c>
      <c r="O143" s="295">
        <f t="shared" si="43"/>
        <v>114.3</v>
      </c>
      <c r="P143" s="295">
        <f t="shared" si="43"/>
        <v>1.2000000000000028</v>
      </c>
      <c r="Q143" s="315">
        <f t="shared" si="43"/>
        <v>1.010498687664042</v>
      </c>
      <c r="R143" s="295">
        <f t="shared" si="43"/>
        <v>1.01</v>
      </c>
      <c r="S143" s="295">
        <f t="shared" si="43"/>
        <v>24.61</v>
      </c>
      <c r="T143" s="315">
        <f t="shared" si="43"/>
        <v>25.366336633663366</v>
      </c>
      <c r="U143" s="295">
        <f t="shared" si="43"/>
        <v>10</v>
      </c>
      <c r="V143" s="295">
        <f t="shared" si="43"/>
        <v>17</v>
      </c>
      <c r="W143" s="295">
        <f t="shared" si="43"/>
        <v>7</v>
      </c>
      <c r="X143" s="315">
        <f t="shared" si="43"/>
        <v>1.7</v>
      </c>
      <c r="Y143" s="336">
        <f t="shared" si="42"/>
        <v>24.355837945999323</v>
      </c>
      <c r="Z143" s="163"/>
    </row>
    <row r="144" spans="2:26" ht="46.5" hidden="1">
      <c r="B144" s="297" t="s">
        <v>17</v>
      </c>
      <c r="C144" s="294" t="s">
        <v>18</v>
      </c>
      <c r="D144" s="295">
        <f>D71</f>
        <v>3</v>
      </c>
      <c r="E144" s="295">
        <f aca="true" t="shared" si="44" ref="E144:X144">E71</f>
        <v>3</v>
      </c>
      <c r="F144" s="295">
        <f t="shared" si="44"/>
        <v>1.5</v>
      </c>
      <c r="G144" s="295">
        <f t="shared" si="44"/>
        <v>0</v>
      </c>
      <c r="H144" s="295">
        <f t="shared" si="44"/>
        <v>-1.5</v>
      </c>
      <c r="I144" s="315">
        <f t="shared" si="44"/>
        <v>0</v>
      </c>
      <c r="J144" s="295">
        <f t="shared" si="44"/>
        <v>-3</v>
      </c>
      <c r="K144" s="315">
        <f t="shared" si="44"/>
        <v>0</v>
      </c>
      <c r="L144" s="295">
        <f t="shared" si="44"/>
        <v>0</v>
      </c>
      <c r="M144" s="295">
        <f t="shared" si="44"/>
        <v>0</v>
      </c>
      <c r="N144" s="295">
        <f t="shared" si="44"/>
        <v>0</v>
      </c>
      <c r="O144" s="295">
        <f t="shared" si="44"/>
        <v>2.04</v>
      </c>
      <c r="P144" s="295">
        <f t="shared" si="44"/>
        <v>0.96</v>
      </c>
      <c r="Q144" s="315">
        <f t="shared" si="44"/>
        <v>1.4705882352941175</v>
      </c>
      <c r="R144" s="295">
        <f t="shared" si="44"/>
        <v>2.04</v>
      </c>
      <c r="S144" s="295">
        <f t="shared" si="44"/>
        <v>-2.04</v>
      </c>
      <c r="T144" s="315">
        <f t="shared" si="44"/>
        <v>0</v>
      </c>
      <c r="U144" s="295">
        <f t="shared" si="44"/>
        <v>0</v>
      </c>
      <c r="V144" s="295">
        <f t="shared" si="44"/>
        <v>0</v>
      </c>
      <c r="W144" s="295">
        <f t="shared" si="44"/>
        <v>0</v>
      </c>
      <c r="X144" s="315">
        <f t="shared" si="44"/>
        <v>0</v>
      </c>
      <c r="Y144" s="336">
        <f t="shared" si="42"/>
        <v>-1.4705882352941175</v>
      </c>
      <c r="Z144" s="163"/>
    </row>
    <row r="145" spans="2:26" ht="30.75" hidden="1">
      <c r="B145" s="306" t="s">
        <v>39</v>
      </c>
      <c r="C145" s="294">
        <v>31010200</v>
      </c>
      <c r="D145" s="307">
        <f>D77</f>
        <v>35</v>
      </c>
      <c r="E145" s="307">
        <f aca="true" t="shared" si="45" ref="E145:X146">E77</f>
        <v>35</v>
      </c>
      <c r="F145" s="307">
        <f t="shared" si="45"/>
        <v>12.47</v>
      </c>
      <c r="G145" s="307">
        <f t="shared" si="45"/>
        <v>4.74</v>
      </c>
      <c r="H145" s="307">
        <f t="shared" si="45"/>
        <v>-7.73</v>
      </c>
      <c r="I145" s="334">
        <f t="shared" si="45"/>
        <v>0.38011226944667204</v>
      </c>
      <c r="J145" s="307">
        <f t="shared" si="45"/>
        <v>-30.259999999999998</v>
      </c>
      <c r="K145" s="334">
        <f t="shared" si="45"/>
        <v>0.13542857142857143</v>
      </c>
      <c r="L145" s="307">
        <f t="shared" si="45"/>
        <v>0</v>
      </c>
      <c r="M145" s="307">
        <f t="shared" si="45"/>
        <v>0</v>
      </c>
      <c r="N145" s="307">
        <f t="shared" si="45"/>
        <v>0</v>
      </c>
      <c r="O145" s="307">
        <f t="shared" si="45"/>
        <v>34.22</v>
      </c>
      <c r="P145" s="307">
        <f t="shared" si="45"/>
        <v>0.7800000000000011</v>
      </c>
      <c r="Q145" s="334">
        <f t="shared" si="45"/>
        <v>1.0227936879018118</v>
      </c>
      <c r="R145" s="307">
        <f t="shared" si="45"/>
        <v>16.85</v>
      </c>
      <c r="S145" s="307">
        <f t="shared" si="45"/>
        <v>-12.110000000000001</v>
      </c>
      <c r="T145" s="334">
        <f t="shared" si="45"/>
        <v>0.2813056379821958</v>
      </c>
      <c r="U145" s="307">
        <f t="shared" si="45"/>
        <v>2.9000000000000004</v>
      </c>
      <c r="V145" s="307">
        <f t="shared" si="45"/>
        <v>0</v>
      </c>
      <c r="W145" s="307">
        <f t="shared" si="45"/>
        <v>-2.9000000000000004</v>
      </c>
      <c r="X145" s="334">
        <f t="shared" si="45"/>
        <v>0</v>
      </c>
      <c r="Y145" s="336">
        <f t="shared" si="42"/>
        <v>-0.7414880499196159</v>
      </c>
      <c r="Z145" s="163"/>
    </row>
    <row r="146" spans="2:26" ht="30.75" hidden="1">
      <c r="B146" s="306" t="s">
        <v>49</v>
      </c>
      <c r="C146" s="294">
        <v>31020000</v>
      </c>
      <c r="D146" s="307">
        <f>D78</f>
        <v>0</v>
      </c>
      <c r="E146" s="307">
        <f t="shared" si="45"/>
        <v>0</v>
      </c>
      <c r="F146" s="307">
        <f t="shared" si="45"/>
        <v>0</v>
      </c>
      <c r="G146" s="307">
        <f t="shared" si="45"/>
        <v>0.45</v>
      </c>
      <c r="H146" s="307">
        <f t="shared" si="45"/>
        <v>0.45</v>
      </c>
      <c r="I146" s="334" t="e">
        <f t="shared" si="45"/>
        <v>#DIV/0!</v>
      </c>
      <c r="J146" s="307">
        <f t="shared" si="45"/>
        <v>0.45</v>
      </c>
      <c r="K146" s="334">
        <f t="shared" si="45"/>
        <v>0</v>
      </c>
      <c r="L146" s="307">
        <f t="shared" si="45"/>
        <v>0</v>
      </c>
      <c r="M146" s="307">
        <f t="shared" si="45"/>
        <v>0</v>
      </c>
      <c r="N146" s="307">
        <f t="shared" si="45"/>
        <v>0</v>
      </c>
      <c r="O146" s="307">
        <f t="shared" si="45"/>
        <v>-4.86</v>
      </c>
      <c r="P146" s="307">
        <f t="shared" si="45"/>
        <v>4.86</v>
      </c>
      <c r="Q146" s="334">
        <f t="shared" si="45"/>
        <v>0</v>
      </c>
      <c r="R146" s="307">
        <f t="shared" si="45"/>
        <v>-5.25</v>
      </c>
      <c r="S146" s="307">
        <f t="shared" si="45"/>
        <v>5.7</v>
      </c>
      <c r="T146" s="334">
        <f t="shared" si="45"/>
        <v>-0.08571428571428572</v>
      </c>
      <c r="U146" s="307">
        <f t="shared" si="45"/>
        <v>0</v>
      </c>
      <c r="V146" s="307">
        <f t="shared" si="45"/>
        <v>0</v>
      </c>
      <c r="W146" s="307">
        <f t="shared" si="45"/>
        <v>0</v>
      </c>
      <c r="X146" s="334">
        <f t="shared" si="45"/>
        <v>0</v>
      </c>
      <c r="Y146" s="336">
        <f t="shared" si="42"/>
        <v>-0.08571428571428572</v>
      </c>
      <c r="Z146" s="163"/>
    </row>
    <row r="147" spans="4:26" ht="15" hidden="1">
      <c r="D147" s="311">
        <f>SUM(D138:D146)</f>
        <v>1304.1</v>
      </c>
      <c r="E147" s="311">
        <f>SUM(E138:E146)</f>
        <v>1304.1</v>
      </c>
      <c r="F147" s="311">
        <f>SUM(F138:F146)</f>
        <v>419.40000000000003</v>
      </c>
      <c r="G147" s="311">
        <f>SUM(G138:G146)</f>
        <v>518.2600000000001</v>
      </c>
      <c r="H147" s="311">
        <f>SUM(H138:H146)</f>
        <v>98.86</v>
      </c>
      <c r="I147" s="189">
        <f>G147/F147</f>
        <v>1.2357176919408681</v>
      </c>
      <c r="J147" s="311">
        <f>G147-E147</f>
        <v>-785.8399999999998</v>
      </c>
      <c r="K147" s="331">
        <f>G147/E147</f>
        <v>0.39740817421976854</v>
      </c>
      <c r="O147" s="311">
        <f>SUM(O138:O146)</f>
        <v>1238.34</v>
      </c>
      <c r="P147" s="311">
        <f>SUM(P138:P146)</f>
        <v>65.76000000000005</v>
      </c>
      <c r="Q147" s="189">
        <f>E147/O147</f>
        <v>1.053103348030428</v>
      </c>
      <c r="R147" s="311">
        <f>SUM(R138:R146)</f>
        <v>612.42</v>
      </c>
      <c r="S147" s="311">
        <f>SUM(S138:S146)</f>
        <v>-94.16</v>
      </c>
      <c r="T147" s="189">
        <f>G147/R147</f>
        <v>0.8462493060318085</v>
      </c>
      <c r="U147" s="311">
        <f>SUM(U138:U146)</f>
        <v>87.9</v>
      </c>
      <c r="V147" s="311">
        <f>SUM(V138:V146)</f>
        <v>31.78</v>
      </c>
      <c r="W147" s="311">
        <f>SUM(W138:W146)</f>
        <v>-56.12</v>
      </c>
      <c r="X147" s="189">
        <f>V147/U147</f>
        <v>0.361547212741752</v>
      </c>
      <c r="Y147" s="189">
        <f t="shared" si="42"/>
        <v>-0.20685404199861945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12" t="s">
        <v>158</v>
      </c>
      <c r="D149" s="4"/>
      <c r="F149" s="78"/>
      <c r="G149" s="4"/>
      <c r="Y149" s="189"/>
    </row>
    <row r="150" spans="2:25" ht="30.75" hidden="1">
      <c r="B150" s="313" t="s">
        <v>89</v>
      </c>
      <c r="C150" s="314">
        <v>22010300</v>
      </c>
      <c r="D150" s="295">
        <f>D60</f>
        <v>1284</v>
      </c>
      <c r="E150" s="295">
        <f aca="true" t="shared" si="46" ref="E150:X154">E60</f>
        <v>1284</v>
      </c>
      <c r="F150" s="295">
        <f t="shared" si="46"/>
        <v>384</v>
      </c>
      <c r="G150" s="295">
        <f t="shared" si="46"/>
        <v>338.2</v>
      </c>
      <c r="H150" s="295">
        <f t="shared" si="46"/>
        <v>-45.80000000000001</v>
      </c>
      <c r="I150" s="315">
        <f t="shared" si="46"/>
        <v>0.8807291666666667</v>
      </c>
      <c r="J150" s="295">
        <f t="shared" si="46"/>
        <v>-945.8</v>
      </c>
      <c r="K150" s="315">
        <f t="shared" si="46"/>
        <v>0.2633956386292835</v>
      </c>
      <c r="L150" s="295">
        <f t="shared" si="46"/>
        <v>0</v>
      </c>
      <c r="M150" s="295">
        <f t="shared" si="46"/>
        <v>0</v>
      </c>
      <c r="N150" s="295">
        <f t="shared" si="46"/>
        <v>0</v>
      </c>
      <c r="O150" s="295">
        <f t="shared" si="46"/>
        <v>1205.14</v>
      </c>
      <c r="P150" s="295">
        <f t="shared" si="46"/>
        <v>78.8599999999999</v>
      </c>
      <c r="Q150" s="315">
        <f t="shared" si="46"/>
        <v>1.0654363808354215</v>
      </c>
      <c r="R150" s="295">
        <f t="shared" si="46"/>
        <v>393.47</v>
      </c>
      <c r="S150" s="295">
        <f t="shared" si="46"/>
        <v>-55.27000000000004</v>
      </c>
      <c r="T150" s="315">
        <f t="shared" si="46"/>
        <v>0.8595318575749104</v>
      </c>
      <c r="U150" s="295">
        <f t="shared" si="46"/>
        <v>100</v>
      </c>
      <c r="V150" s="295">
        <f t="shared" si="46"/>
        <v>57.870000000000005</v>
      </c>
      <c r="W150" s="295">
        <f t="shared" si="46"/>
        <v>-42.129999999999995</v>
      </c>
      <c r="X150" s="315">
        <f t="shared" si="46"/>
        <v>0.5787</v>
      </c>
      <c r="Y150" s="336">
        <f t="shared" si="42"/>
        <v>-0.20590452326051112</v>
      </c>
    </row>
    <row r="151" spans="2:25" ht="15" hidden="1">
      <c r="B151" s="313" t="s">
        <v>106</v>
      </c>
      <c r="C151" s="314">
        <v>22010200</v>
      </c>
      <c r="D151" s="295">
        <f>D61</f>
        <v>0</v>
      </c>
      <c r="E151" s="295">
        <f t="shared" si="46"/>
        <v>0</v>
      </c>
      <c r="F151" s="295">
        <f t="shared" si="46"/>
        <v>0</v>
      </c>
      <c r="G151" s="295">
        <f t="shared" si="46"/>
        <v>0</v>
      </c>
      <c r="H151" s="295">
        <f t="shared" si="46"/>
        <v>0</v>
      </c>
      <c r="I151" s="315" t="e">
        <f t="shared" si="46"/>
        <v>#DIV/0!</v>
      </c>
      <c r="J151" s="295">
        <f t="shared" si="46"/>
        <v>0</v>
      </c>
      <c r="K151" s="315" t="e">
        <f t="shared" si="46"/>
        <v>#DIV/0!</v>
      </c>
      <c r="L151" s="295">
        <f t="shared" si="46"/>
        <v>0</v>
      </c>
      <c r="M151" s="295">
        <f t="shared" si="46"/>
        <v>0</v>
      </c>
      <c r="N151" s="295">
        <f t="shared" si="46"/>
        <v>0</v>
      </c>
      <c r="O151" s="295">
        <f t="shared" si="46"/>
        <v>23.38</v>
      </c>
      <c r="P151" s="295">
        <f t="shared" si="46"/>
        <v>-23.38</v>
      </c>
      <c r="Q151" s="315">
        <f t="shared" si="46"/>
        <v>0</v>
      </c>
      <c r="R151" s="295">
        <f t="shared" si="46"/>
        <v>0</v>
      </c>
      <c r="S151" s="295">
        <f t="shared" si="46"/>
        <v>0</v>
      </c>
      <c r="T151" s="315">
        <f t="shared" si="46"/>
        <v>0</v>
      </c>
      <c r="U151" s="295">
        <f t="shared" si="46"/>
        <v>0</v>
      </c>
      <c r="V151" s="295">
        <f t="shared" si="46"/>
        <v>0</v>
      </c>
      <c r="W151" s="295">
        <f t="shared" si="46"/>
        <v>0</v>
      </c>
      <c r="X151" s="315" t="e">
        <f t="shared" si="46"/>
        <v>#DIV/0!</v>
      </c>
      <c r="Y151" s="336">
        <f t="shared" si="42"/>
        <v>0</v>
      </c>
    </row>
    <row r="152" spans="2:25" ht="15" hidden="1">
      <c r="B152" s="316" t="s">
        <v>65</v>
      </c>
      <c r="C152" s="317">
        <v>22012500</v>
      </c>
      <c r="D152" s="318">
        <f>D62</f>
        <v>21260</v>
      </c>
      <c r="E152" s="318">
        <f t="shared" si="46"/>
        <v>21260</v>
      </c>
      <c r="F152" s="318">
        <f t="shared" si="46"/>
        <v>7490</v>
      </c>
      <c r="G152" s="318">
        <f t="shared" si="46"/>
        <v>7443.17</v>
      </c>
      <c r="H152" s="318">
        <f t="shared" si="46"/>
        <v>-46.82999999999993</v>
      </c>
      <c r="I152" s="319">
        <f t="shared" si="46"/>
        <v>0.9937476635514019</v>
      </c>
      <c r="J152" s="318">
        <f t="shared" si="46"/>
        <v>-13816.83</v>
      </c>
      <c r="K152" s="319">
        <f t="shared" si="46"/>
        <v>0.3501020696142992</v>
      </c>
      <c r="L152" s="318">
        <f t="shared" si="46"/>
        <v>0</v>
      </c>
      <c r="M152" s="318">
        <f t="shared" si="46"/>
        <v>0</v>
      </c>
      <c r="N152" s="318">
        <f t="shared" si="46"/>
        <v>0</v>
      </c>
      <c r="O152" s="318">
        <f t="shared" si="46"/>
        <v>20110.14</v>
      </c>
      <c r="P152" s="318">
        <f t="shared" si="46"/>
        <v>1149.8600000000006</v>
      </c>
      <c r="Q152" s="319">
        <f t="shared" si="46"/>
        <v>1.0571781200926498</v>
      </c>
      <c r="R152" s="318">
        <f t="shared" si="46"/>
        <v>4681.51</v>
      </c>
      <c r="S152" s="318">
        <f t="shared" si="46"/>
        <v>2761.66</v>
      </c>
      <c r="T152" s="319">
        <f t="shared" si="46"/>
        <v>1.5899079570480463</v>
      </c>
      <c r="U152" s="318">
        <f t="shared" si="46"/>
        <v>1800</v>
      </c>
      <c r="V152" s="318">
        <f t="shared" si="46"/>
        <v>1241.2300000000005</v>
      </c>
      <c r="W152" s="318">
        <f t="shared" si="46"/>
        <v>-558.7699999999995</v>
      </c>
      <c r="X152" s="319">
        <f t="shared" si="46"/>
        <v>0.6895722222222225</v>
      </c>
      <c r="Y152" s="336">
        <f t="shared" si="42"/>
        <v>0.5327298369553966</v>
      </c>
    </row>
    <row r="153" spans="2:25" ht="30.75" hidden="1">
      <c r="B153" s="316" t="s">
        <v>86</v>
      </c>
      <c r="C153" s="317">
        <v>22012600</v>
      </c>
      <c r="D153" s="318">
        <f>D63</f>
        <v>767</v>
      </c>
      <c r="E153" s="318">
        <f t="shared" si="46"/>
        <v>767</v>
      </c>
      <c r="F153" s="318">
        <f t="shared" si="46"/>
        <v>249</v>
      </c>
      <c r="G153" s="318">
        <f t="shared" si="46"/>
        <v>239.67</v>
      </c>
      <c r="H153" s="318">
        <f t="shared" si="46"/>
        <v>-9.330000000000013</v>
      </c>
      <c r="I153" s="319">
        <f t="shared" si="46"/>
        <v>0.9625301204819277</v>
      </c>
      <c r="J153" s="318">
        <f t="shared" si="46"/>
        <v>-527.33</v>
      </c>
      <c r="K153" s="319">
        <f t="shared" si="46"/>
        <v>0.312477183833116</v>
      </c>
      <c r="L153" s="318">
        <f t="shared" si="46"/>
        <v>0</v>
      </c>
      <c r="M153" s="318">
        <f t="shared" si="46"/>
        <v>0</v>
      </c>
      <c r="N153" s="318">
        <f t="shared" si="46"/>
        <v>0</v>
      </c>
      <c r="O153" s="318">
        <f t="shared" si="46"/>
        <v>710.04</v>
      </c>
      <c r="P153" s="318">
        <f t="shared" si="46"/>
        <v>56.960000000000036</v>
      </c>
      <c r="Q153" s="319">
        <f t="shared" si="46"/>
        <v>1.0802208326291478</v>
      </c>
      <c r="R153" s="318">
        <f t="shared" si="46"/>
        <v>175.37</v>
      </c>
      <c r="S153" s="318">
        <f t="shared" si="46"/>
        <v>64.29999999999998</v>
      </c>
      <c r="T153" s="319">
        <f t="shared" si="46"/>
        <v>1.3666533614643324</v>
      </c>
      <c r="U153" s="318">
        <f t="shared" si="46"/>
        <v>64</v>
      </c>
      <c r="V153" s="318">
        <f t="shared" si="46"/>
        <v>37.50999999999999</v>
      </c>
      <c r="W153" s="318">
        <f t="shared" si="46"/>
        <v>-26.49000000000001</v>
      </c>
      <c r="X153" s="319">
        <f t="shared" si="46"/>
        <v>0.5860937499999999</v>
      </c>
      <c r="Y153" s="336">
        <f t="shared" si="42"/>
        <v>0.28643252883518455</v>
      </c>
    </row>
    <row r="154" spans="2:25" ht="30.75" hidden="1">
      <c r="B154" s="316" t="s">
        <v>90</v>
      </c>
      <c r="C154" s="317">
        <v>22012900</v>
      </c>
      <c r="D154" s="318">
        <f>D64</f>
        <v>44</v>
      </c>
      <c r="E154" s="318">
        <f t="shared" si="46"/>
        <v>44</v>
      </c>
      <c r="F154" s="318">
        <f t="shared" si="46"/>
        <v>12</v>
      </c>
      <c r="G154" s="318">
        <f t="shared" si="46"/>
        <v>13.06</v>
      </c>
      <c r="H154" s="318">
        <f t="shared" si="46"/>
        <v>1.0600000000000005</v>
      </c>
      <c r="I154" s="319">
        <f t="shared" si="46"/>
        <v>1.0883333333333334</v>
      </c>
      <c r="J154" s="318">
        <f t="shared" si="46"/>
        <v>-30.939999999999998</v>
      </c>
      <c r="K154" s="319">
        <f t="shared" si="46"/>
        <v>0.2968181818181818</v>
      </c>
      <c r="L154" s="318">
        <f t="shared" si="46"/>
        <v>0</v>
      </c>
      <c r="M154" s="318">
        <f t="shared" si="46"/>
        <v>0</v>
      </c>
      <c r="N154" s="318">
        <f t="shared" si="46"/>
        <v>0</v>
      </c>
      <c r="O154" s="318">
        <f t="shared" si="46"/>
        <v>41.44</v>
      </c>
      <c r="P154" s="318">
        <f t="shared" si="46"/>
        <v>2.5600000000000023</v>
      </c>
      <c r="Q154" s="319">
        <f t="shared" si="46"/>
        <v>1.0617760617760619</v>
      </c>
      <c r="R154" s="318">
        <f t="shared" si="46"/>
        <v>11.36</v>
      </c>
      <c r="S154" s="318">
        <f t="shared" si="46"/>
        <v>1.700000000000001</v>
      </c>
      <c r="T154" s="319">
        <f t="shared" si="46"/>
        <v>1.1496478873239437</v>
      </c>
      <c r="U154" s="318">
        <f t="shared" si="46"/>
        <v>4</v>
      </c>
      <c r="V154" s="318">
        <f t="shared" si="46"/>
        <v>5.300000000000001</v>
      </c>
      <c r="W154" s="318">
        <f t="shared" si="46"/>
        <v>1.3000000000000007</v>
      </c>
      <c r="X154" s="319">
        <f t="shared" si="46"/>
        <v>1.3250000000000002</v>
      </c>
      <c r="Y154" s="336">
        <f t="shared" si="42"/>
        <v>0.08787182554788187</v>
      </c>
    </row>
    <row r="155" spans="2:25" ht="15" hidden="1">
      <c r="B155" s="312" t="s">
        <v>158</v>
      </c>
      <c r="C155" s="320">
        <v>22010000</v>
      </c>
      <c r="D155" s="311">
        <f>SUM(D150:D154)</f>
        <v>23355</v>
      </c>
      <c r="E155" s="311">
        <f aca="true" t="shared" si="47" ref="E155:W155">SUM(E150:E154)</f>
        <v>23355</v>
      </c>
      <c r="F155" s="311">
        <f t="shared" si="47"/>
        <v>8135</v>
      </c>
      <c r="G155" s="311">
        <f t="shared" si="47"/>
        <v>8034.1</v>
      </c>
      <c r="H155" s="311">
        <f t="shared" si="47"/>
        <v>-100.89999999999995</v>
      </c>
      <c r="I155" s="189">
        <f>G155/F155</f>
        <v>0.9875968039336203</v>
      </c>
      <c r="J155" s="311">
        <f t="shared" si="47"/>
        <v>-15320.9</v>
      </c>
      <c r="K155" s="189">
        <f>G155/E155</f>
        <v>0.34399914365232287</v>
      </c>
      <c r="L155" s="311">
        <f t="shared" si="47"/>
        <v>0</v>
      </c>
      <c r="M155" s="311">
        <f t="shared" si="47"/>
        <v>0</v>
      </c>
      <c r="N155" s="311">
        <f t="shared" si="47"/>
        <v>0</v>
      </c>
      <c r="O155" s="311">
        <f t="shared" si="47"/>
        <v>22090.14</v>
      </c>
      <c r="P155" s="311">
        <f t="shared" si="47"/>
        <v>1264.8600000000006</v>
      </c>
      <c r="Q155" s="189">
        <f>E155/O155</f>
        <v>1.0572590304995804</v>
      </c>
      <c r="R155" s="311">
        <f t="shared" si="47"/>
        <v>5261.71</v>
      </c>
      <c r="S155" s="311">
        <f t="shared" si="47"/>
        <v>2772.39</v>
      </c>
      <c r="T155" s="189">
        <f>G155/R155</f>
        <v>1.5268990499286355</v>
      </c>
      <c r="U155" s="311">
        <f t="shared" si="47"/>
        <v>1968</v>
      </c>
      <c r="V155" s="311">
        <f t="shared" si="47"/>
        <v>1341.9100000000003</v>
      </c>
      <c r="W155" s="311">
        <f t="shared" si="47"/>
        <v>-626.0899999999996</v>
      </c>
      <c r="X155" s="189">
        <f>V155/U155</f>
        <v>0.6818648373983741</v>
      </c>
      <c r="Y155" s="189">
        <f t="shared" si="42"/>
        <v>0.4696400194290551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12" t="s">
        <v>159</v>
      </c>
      <c r="D158" s="4"/>
      <c r="F158" s="78"/>
      <c r="G158" s="4"/>
      <c r="Y158" s="189"/>
    </row>
    <row r="159" spans="2:25" ht="15" hidden="1">
      <c r="B159" s="321" t="s">
        <v>13</v>
      </c>
      <c r="C159" s="294" t="s">
        <v>19</v>
      </c>
      <c r="D159" s="310">
        <f>D72</f>
        <v>8170</v>
      </c>
      <c r="E159" s="310">
        <f aca="true" t="shared" si="48" ref="E159:X159">E72</f>
        <v>8170</v>
      </c>
      <c r="F159" s="310">
        <f t="shared" si="48"/>
        <v>2608.65</v>
      </c>
      <c r="G159" s="310">
        <f t="shared" si="48"/>
        <v>1965.48</v>
      </c>
      <c r="H159" s="310">
        <f t="shared" si="48"/>
        <v>-643.1700000000001</v>
      </c>
      <c r="I159" s="309">
        <f t="shared" si="48"/>
        <v>0.7534471853257432</v>
      </c>
      <c r="J159" s="310">
        <f t="shared" si="48"/>
        <v>-6204.52</v>
      </c>
      <c r="K159" s="309">
        <f t="shared" si="48"/>
        <v>0.24057282741738067</v>
      </c>
      <c r="L159" s="310">
        <f t="shared" si="48"/>
        <v>0</v>
      </c>
      <c r="M159" s="310">
        <f t="shared" si="48"/>
        <v>0</v>
      </c>
      <c r="N159" s="310">
        <f t="shared" si="48"/>
        <v>0</v>
      </c>
      <c r="O159" s="310">
        <f t="shared" si="48"/>
        <v>8086.92</v>
      </c>
      <c r="P159" s="310">
        <f t="shared" si="48"/>
        <v>83.07999999999993</v>
      </c>
      <c r="Q159" s="309">
        <f t="shared" si="48"/>
        <v>1.0102733797292418</v>
      </c>
      <c r="R159" s="310">
        <f t="shared" si="48"/>
        <v>3536.21</v>
      </c>
      <c r="S159" s="310">
        <f t="shared" si="48"/>
        <v>-1570.73</v>
      </c>
      <c r="T159" s="309">
        <f t="shared" si="48"/>
        <v>0.5558154068904279</v>
      </c>
      <c r="U159" s="310">
        <f t="shared" si="48"/>
        <v>680</v>
      </c>
      <c r="V159" s="310">
        <f t="shared" si="48"/>
        <v>466.78</v>
      </c>
      <c r="W159" s="310">
        <f t="shared" si="48"/>
        <v>-213.22000000000003</v>
      </c>
      <c r="X159" s="309">
        <f t="shared" si="48"/>
        <v>0.6864411764705882</v>
      </c>
      <c r="Y159" s="189">
        <f t="shared" si="42"/>
        <v>-0.45445797283881395</v>
      </c>
    </row>
    <row r="160" spans="2:25" ht="46.5" hidden="1">
      <c r="B160" s="321" t="s">
        <v>38</v>
      </c>
      <c r="C160" s="294">
        <v>24061900</v>
      </c>
      <c r="D160" s="310">
        <f>D76</f>
        <v>174.4</v>
      </c>
      <c r="E160" s="310">
        <f aca="true" t="shared" si="49" ref="E160:X160">E76</f>
        <v>174.4</v>
      </c>
      <c r="F160" s="310">
        <f t="shared" si="49"/>
        <v>20</v>
      </c>
      <c r="G160" s="310">
        <f t="shared" si="49"/>
        <v>0</v>
      </c>
      <c r="H160" s="310">
        <f t="shared" si="49"/>
        <v>-20</v>
      </c>
      <c r="I160" s="309">
        <f t="shared" si="49"/>
        <v>0</v>
      </c>
      <c r="J160" s="310">
        <f t="shared" si="49"/>
        <v>-174.4</v>
      </c>
      <c r="K160" s="309">
        <f t="shared" si="49"/>
        <v>0</v>
      </c>
      <c r="L160" s="310">
        <f t="shared" si="49"/>
        <v>0</v>
      </c>
      <c r="M160" s="310">
        <f t="shared" si="49"/>
        <v>0</v>
      </c>
      <c r="N160" s="310">
        <f t="shared" si="49"/>
        <v>0</v>
      </c>
      <c r="O160" s="310">
        <f t="shared" si="49"/>
        <v>142.18</v>
      </c>
      <c r="P160" s="310">
        <f t="shared" si="49"/>
        <v>32.22</v>
      </c>
      <c r="Q160" s="309">
        <f t="shared" si="49"/>
        <v>1.2266141510761006</v>
      </c>
      <c r="R160" s="310">
        <f t="shared" si="49"/>
        <v>54.64</v>
      </c>
      <c r="S160" s="310">
        <f t="shared" si="49"/>
        <v>-54.64</v>
      </c>
      <c r="T160" s="309">
        <f t="shared" si="49"/>
        <v>0</v>
      </c>
      <c r="U160" s="310">
        <f t="shared" si="49"/>
        <v>20</v>
      </c>
      <c r="V160" s="310">
        <f t="shared" si="49"/>
        <v>0</v>
      </c>
      <c r="W160" s="310">
        <f t="shared" si="49"/>
        <v>-20</v>
      </c>
      <c r="X160" s="309">
        <f t="shared" si="49"/>
        <v>0</v>
      </c>
      <c r="Y160" s="189">
        <f t="shared" si="42"/>
        <v>-1.2266141510761006</v>
      </c>
    </row>
    <row r="161" spans="2:25" ht="15" hidden="1">
      <c r="B161" s="312" t="s">
        <v>159</v>
      </c>
      <c r="C161" s="322">
        <v>24060000</v>
      </c>
      <c r="D161" s="311">
        <f>SUM(D159:D160)</f>
        <v>8344.4</v>
      </c>
      <c r="E161" s="311">
        <f aca="true" t="shared" si="50" ref="E161:W161">SUM(E159:E160)</f>
        <v>8344.4</v>
      </c>
      <c r="F161" s="311">
        <f t="shared" si="50"/>
        <v>2628.65</v>
      </c>
      <c r="G161" s="311">
        <f t="shared" si="50"/>
        <v>1965.48</v>
      </c>
      <c r="H161" s="311">
        <f t="shared" si="50"/>
        <v>-663.1700000000001</v>
      </c>
      <c r="I161" s="189">
        <f>G161/F161</f>
        <v>0.7477146063568751</v>
      </c>
      <c r="J161" s="311">
        <f t="shared" si="50"/>
        <v>-6378.92</v>
      </c>
      <c r="K161" s="189">
        <f>G161/E161</f>
        <v>0.2355447965102344</v>
      </c>
      <c r="L161" s="311">
        <f t="shared" si="50"/>
        <v>0</v>
      </c>
      <c r="M161" s="311">
        <f t="shared" si="50"/>
        <v>0</v>
      </c>
      <c r="N161" s="311">
        <f t="shared" si="50"/>
        <v>0</v>
      </c>
      <c r="O161" s="311">
        <f t="shared" si="50"/>
        <v>8229.1</v>
      </c>
      <c r="P161" s="311">
        <f t="shared" si="50"/>
        <v>115.29999999999993</v>
      </c>
      <c r="Q161" s="189">
        <f>E161/O161</f>
        <v>1.0140112527493892</v>
      </c>
      <c r="R161" s="311">
        <f t="shared" si="50"/>
        <v>3590.85</v>
      </c>
      <c r="S161" s="311">
        <f t="shared" si="50"/>
        <v>-1625.3700000000001</v>
      </c>
      <c r="T161" s="189">
        <f>G161/R161</f>
        <v>0.5473578679142822</v>
      </c>
      <c r="U161" s="311">
        <f t="shared" si="50"/>
        <v>700</v>
      </c>
      <c r="V161" s="311">
        <f t="shared" si="50"/>
        <v>466.78</v>
      </c>
      <c r="W161" s="311">
        <f t="shared" si="50"/>
        <v>-233.22000000000003</v>
      </c>
      <c r="X161" s="189">
        <f>V161/U161</f>
        <v>0.6668285714285714</v>
      </c>
      <c r="Y161" s="189">
        <f t="shared" si="42"/>
        <v>-0.466653384835107</v>
      </c>
    </row>
    <row r="162" ht="15" hidden="1"/>
  </sheetData>
  <sheetProtection/>
  <mergeCells count="30">
    <mergeCell ref="B111:C111"/>
    <mergeCell ref="G111:H111"/>
    <mergeCell ref="G106:H106"/>
    <mergeCell ref="G107:H107"/>
    <mergeCell ref="G108:H108"/>
    <mergeCell ref="B109:C109"/>
    <mergeCell ref="G109:H109"/>
    <mergeCell ref="G110:H110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" right="0" top="0" bottom="0" header="0" footer="0"/>
  <pageSetup fitToHeight="2" fitToWidth="1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1"/>
  <sheetViews>
    <sheetView zoomScale="78" zoomScaleNormal="78" zoomScalePageLayoutView="0" workbookViewId="0" topLeftCell="B1">
      <pane xSplit="3" ySplit="8" topLeftCell="E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G79" sqref="G7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2.75390625" style="4" hidden="1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356" t="s">
        <v>180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186"/>
    </row>
    <row r="2" spans="2:25" s="1" customFormat="1" ht="15.75" customHeight="1">
      <c r="B2" s="357"/>
      <c r="C2" s="357"/>
      <c r="D2" s="357"/>
      <c r="E2" s="357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58"/>
      <c r="B3" s="360"/>
      <c r="C3" s="361" t="s">
        <v>0</v>
      </c>
      <c r="D3" s="362" t="s">
        <v>131</v>
      </c>
      <c r="E3" s="362" t="s">
        <v>179</v>
      </c>
      <c r="F3" s="25"/>
      <c r="G3" s="363" t="s">
        <v>26</v>
      </c>
      <c r="H3" s="364"/>
      <c r="I3" s="364"/>
      <c r="J3" s="364"/>
      <c r="K3" s="365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66" t="s">
        <v>177</v>
      </c>
      <c r="V3" s="369" t="s">
        <v>178</v>
      </c>
      <c r="W3" s="369"/>
      <c r="X3" s="369"/>
      <c r="Y3" s="194"/>
    </row>
    <row r="4" spans="1:24" ht="22.5" customHeight="1">
      <c r="A4" s="358"/>
      <c r="B4" s="360"/>
      <c r="C4" s="361"/>
      <c r="D4" s="362"/>
      <c r="E4" s="362"/>
      <c r="F4" s="370" t="s">
        <v>173</v>
      </c>
      <c r="G4" s="372" t="s">
        <v>31</v>
      </c>
      <c r="H4" s="374" t="s">
        <v>174</v>
      </c>
      <c r="I4" s="367" t="s">
        <v>175</v>
      </c>
      <c r="J4" s="374" t="s">
        <v>132</v>
      </c>
      <c r="K4" s="367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367"/>
      <c r="V4" s="376" t="s">
        <v>181</v>
      </c>
      <c r="W4" s="374" t="s">
        <v>44</v>
      </c>
      <c r="X4" s="378" t="s">
        <v>43</v>
      </c>
    </row>
    <row r="5" spans="1:24" ht="67.5" customHeight="1">
      <c r="A5" s="359"/>
      <c r="B5" s="360"/>
      <c r="C5" s="361"/>
      <c r="D5" s="362"/>
      <c r="E5" s="362"/>
      <c r="F5" s="371"/>
      <c r="G5" s="373"/>
      <c r="H5" s="375"/>
      <c r="I5" s="368"/>
      <c r="J5" s="375"/>
      <c r="K5" s="368"/>
      <c r="L5" s="379" t="s">
        <v>135</v>
      </c>
      <c r="M5" s="380"/>
      <c r="N5" s="381"/>
      <c r="O5" s="382" t="s">
        <v>168</v>
      </c>
      <c r="P5" s="383"/>
      <c r="Q5" s="384"/>
      <c r="R5" s="385" t="s">
        <v>176</v>
      </c>
      <c r="S5" s="385"/>
      <c r="T5" s="385"/>
      <c r="U5" s="368"/>
      <c r="V5" s="377"/>
      <c r="W5" s="375"/>
      <c r="X5" s="37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361542.939</v>
      </c>
      <c r="G8" s="103">
        <f>G9+G15+G18+G19+G23+G17</f>
        <v>367118.1</v>
      </c>
      <c r="H8" s="103">
        <f>G8-F8</f>
        <v>5575.160999999964</v>
      </c>
      <c r="I8" s="210">
        <f aca="true" t="shared" si="0" ref="I8:I15">G8/F8</f>
        <v>1.0154204671108236</v>
      </c>
      <c r="J8" s="104">
        <f aca="true" t="shared" si="1" ref="J8:J52">G8-E8</f>
        <v>-1213515.7000000002</v>
      </c>
      <c r="K8" s="156">
        <f aca="true" t="shared" si="2" ref="K8:K14">G8/E8</f>
        <v>0.23226005922434403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293545.77</v>
      </c>
      <c r="S8" s="103">
        <f aca="true" t="shared" si="5" ref="S8:S78">G8-R8</f>
        <v>73572.32999999996</v>
      </c>
      <c r="T8" s="143">
        <f aca="true" t="shared" si="6" ref="T8:T20">G8/R8</f>
        <v>1.2506332487775245</v>
      </c>
      <c r="U8" s="103">
        <f>U9+U15+U18+U19+U23+U17</f>
        <v>119781.5</v>
      </c>
      <c r="V8" s="103">
        <f>V9+V15+V18+V19+V23+V17</f>
        <v>125226.18000000001</v>
      </c>
      <c r="W8" s="103">
        <f>V8-U8</f>
        <v>5444.680000000008</v>
      </c>
      <c r="X8" s="143">
        <f aca="true" t="shared" si="7" ref="X8:X15">V8/U8</f>
        <v>1.0454550994936613</v>
      </c>
      <c r="Y8" s="199">
        <f aca="true" t="shared" si="8" ref="Y8:Y22">T8-Q8</f>
        <v>0.06181683724639342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v>209196.339</v>
      </c>
      <c r="G9" s="106">
        <v>218795.53</v>
      </c>
      <c r="H9" s="102">
        <f>G9-F9</f>
        <v>9599.190999999992</v>
      </c>
      <c r="I9" s="208">
        <f t="shared" si="0"/>
        <v>1.0458860372312728</v>
      </c>
      <c r="J9" s="108">
        <f t="shared" si="1"/>
        <v>-737407.47</v>
      </c>
      <c r="K9" s="148">
        <f t="shared" si="2"/>
        <v>0.22881702943830964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162187.36</v>
      </c>
      <c r="S9" s="109">
        <f t="shared" si="5"/>
        <v>56608.17000000001</v>
      </c>
      <c r="T9" s="144">
        <f t="shared" si="6"/>
        <v>1.3490294804724612</v>
      </c>
      <c r="U9" s="107">
        <f>F9-лютий!F9</f>
        <v>70204</v>
      </c>
      <c r="V9" s="110">
        <f>G9-лютий!G9</f>
        <v>78716.66</v>
      </c>
      <c r="W9" s="111">
        <f>V9-U9</f>
        <v>8512.660000000003</v>
      </c>
      <c r="X9" s="148">
        <f t="shared" si="7"/>
        <v>1.1212560537861092</v>
      </c>
      <c r="Y9" s="200">
        <f t="shared" si="8"/>
        <v>0.11652608858530367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v>192878.7</v>
      </c>
      <c r="G10" s="94">
        <v>199834.89</v>
      </c>
      <c r="H10" s="71">
        <f aca="true" t="shared" si="9" ref="H10:H47">G10-F10</f>
        <v>6956.190000000002</v>
      </c>
      <c r="I10" s="209">
        <f t="shared" si="0"/>
        <v>1.0360651020563703</v>
      </c>
      <c r="J10" s="72">
        <f t="shared" si="1"/>
        <v>-681968.11</v>
      </c>
      <c r="K10" s="75">
        <f t="shared" si="2"/>
        <v>0.2266207871826247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148315.37</v>
      </c>
      <c r="S10" s="74">
        <f t="shared" si="5"/>
        <v>51519.52000000002</v>
      </c>
      <c r="T10" s="145">
        <f t="shared" si="6"/>
        <v>1.34736467299377</v>
      </c>
      <c r="U10" s="73">
        <f>F10-лютий!F10</f>
        <v>65100.000000000015</v>
      </c>
      <c r="V10" s="98">
        <f>G10-лютий!G10</f>
        <v>72045.44000000002</v>
      </c>
      <c r="W10" s="74">
        <f aca="true" t="shared" si="10" ref="W10:W52">V10-U10</f>
        <v>6945.440000000002</v>
      </c>
      <c r="X10" s="75">
        <f t="shared" si="7"/>
        <v>1.106688786482335</v>
      </c>
      <c r="Y10" s="198">
        <f t="shared" si="8"/>
        <v>0.10521322837077918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10754.7</v>
      </c>
      <c r="G11" s="94">
        <v>12023.19</v>
      </c>
      <c r="H11" s="71">
        <f t="shared" si="9"/>
        <v>1268.4899999999998</v>
      </c>
      <c r="I11" s="209">
        <f t="shared" si="0"/>
        <v>1.1179475020223715</v>
      </c>
      <c r="J11" s="72">
        <f t="shared" si="1"/>
        <v>-37876.81</v>
      </c>
      <c r="K11" s="75">
        <f t="shared" si="2"/>
        <v>0.24094569138276553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9104.48</v>
      </c>
      <c r="S11" s="74">
        <f t="shared" si="5"/>
        <v>2918.710000000001</v>
      </c>
      <c r="T11" s="145">
        <f t="shared" si="6"/>
        <v>1.3205795388643833</v>
      </c>
      <c r="U11" s="73">
        <f>F11-лютий!F11</f>
        <v>3670.000000000001</v>
      </c>
      <c r="V11" s="98">
        <f>G11-лютий!G11</f>
        <v>4335.790000000001</v>
      </c>
      <c r="W11" s="74">
        <f t="shared" si="10"/>
        <v>665.79</v>
      </c>
      <c r="X11" s="75">
        <f t="shared" si="7"/>
        <v>1.1814141689373296</v>
      </c>
      <c r="Y11" s="198">
        <f t="shared" si="8"/>
        <v>0.14691506437088786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2294.409</v>
      </c>
      <c r="G12" s="94">
        <v>3279.15</v>
      </c>
      <c r="H12" s="71">
        <f t="shared" si="9"/>
        <v>984.741</v>
      </c>
      <c r="I12" s="209">
        <f t="shared" si="0"/>
        <v>1.4291915695937385</v>
      </c>
      <c r="J12" s="72">
        <f t="shared" si="1"/>
        <v>-8720.85</v>
      </c>
      <c r="K12" s="75">
        <f t="shared" si="2"/>
        <v>0.2732625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1764.69</v>
      </c>
      <c r="S12" s="74">
        <f t="shared" si="5"/>
        <v>1514.46</v>
      </c>
      <c r="T12" s="145">
        <f t="shared" si="6"/>
        <v>1.8582017238155144</v>
      </c>
      <c r="U12" s="73">
        <f>F12-лютий!F12</f>
        <v>830</v>
      </c>
      <c r="V12" s="98">
        <f>G12-лютий!G12</f>
        <v>1686.23</v>
      </c>
      <c r="W12" s="74">
        <f t="shared" si="10"/>
        <v>856.23</v>
      </c>
      <c r="X12" s="75">
        <f t="shared" si="7"/>
        <v>2.031602409638554</v>
      </c>
      <c r="Y12" s="198">
        <f t="shared" si="8"/>
        <v>0.8575471289346965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3056.9</v>
      </c>
      <c r="G13" s="94">
        <v>3350.68</v>
      </c>
      <c r="H13" s="71">
        <f t="shared" si="9"/>
        <v>293.77999999999975</v>
      </c>
      <c r="I13" s="209">
        <f t="shared" si="0"/>
        <v>1.096103896103896</v>
      </c>
      <c r="J13" s="72">
        <f t="shared" si="1"/>
        <v>-8649.32</v>
      </c>
      <c r="K13" s="75">
        <f t="shared" si="2"/>
        <v>0.2792233333333333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2629.16</v>
      </c>
      <c r="S13" s="74">
        <f t="shared" si="5"/>
        <v>721.52</v>
      </c>
      <c r="T13" s="145">
        <f t="shared" si="6"/>
        <v>1.274429855923565</v>
      </c>
      <c r="U13" s="73">
        <f>F13-лютий!F13</f>
        <v>571</v>
      </c>
      <c r="V13" s="98">
        <f>G13-лютий!G13</f>
        <v>649.21</v>
      </c>
      <c r="W13" s="74">
        <f t="shared" si="10"/>
        <v>78.21000000000004</v>
      </c>
      <c r="X13" s="75">
        <f t="shared" si="7"/>
        <v>1.1369702276707532</v>
      </c>
      <c r="Y13" s="198">
        <f t="shared" si="8"/>
        <v>0.07883085584286187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211.63</v>
      </c>
      <c r="G14" s="94">
        <v>307.62</v>
      </c>
      <c r="H14" s="71">
        <f t="shared" si="9"/>
        <v>95.99000000000001</v>
      </c>
      <c r="I14" s="209">
        <f t="shared" si="0"/>
        <v>1.4535746349761376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373.67</v>
      </c>
      <c r="S14" s="74">
        <f t="shared" si="5"/>
        <v>-66.05000000000001</v>
      </c>
      <c r="T14" s="145">
        <f t="shared" si="6"/>
        <v>0.8232397570048439</v>
      </c>
      <c r="U14" s="73">
        <f>F14-лютий!F14</f>
        <v>33</v>
      </c>
      <c r="V14" s="98">
        <f>G14-лютий!G14</f>
        <v>0</v>
      </c>
      <c r="W14" s="74">
        <f t="shared" si="10"/>
        <v>-33</v>
      </c>
      <c r="X14" s="75">
        <f t="shared" si="7"/>
        <v>0</v>
      </c>
      <c r="Y14" s="198">
        <f t="shared" si="8"/>
        <v>0.4600471487008081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60</v>
      </c>
      <c r="G15" s="106">
        <v>337.62</v>
      </c>
      <c r="H15" s="102">
        <f t="shared" si="9"/>
        <v>277.62</v>
      </c>
      <c r="I15" s="208">
        <f t="shared" si="0"/>
        <v>5.627</v>
      </c>
      <c r="J15" s="108">
        <f t="shared" si="1"/>
        <v>-562.38</v>
      </c>
      <c r="K15" s="108">
        <f aca="true" t="shared" si="11" ref="K15:K23">G15/E15*100</f>
        <v>37.513333333333335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-366.42</v>
      </c>
      <c r="S15" s="111">
        <f t="shared" si="5"/>
        <v>704.04</v>
      </c>
      <c r="T15" s="146">
        <f t="shared" si="6"/>
        <v>-0.9214016702145079</v>
      </c>
      <c r="U15" s="107">
        <f>F15-лютий!F15</f>
        <v>50</v>
      </c>
      <c r="V15" s="110">
        <f>G15-лютий!G15</f>
        <v>218.09</v>
      </c>
      <c r="W15" s="111">
        <f t="shared" si="10"/>
        <v>168.09</v>
      </c>
      <c r="X15" s="148">
        <f t="shared" si="7"/>
        <v>4.3618</v>
      </c>
      <c r="Y15" s="197">
        <f t="shared" si="8"/>
        <v>-1.9353605034858772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F16-лютий!F16</f>
        <v>0</v>
      </c>
      <c r="V16" s="110">
        <f>G16-лютий!G16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F17-лютий!F17</f>
        <v>0</v>
      </c>
      <c r="V17" s="110">
        <f>G17-лютий!G17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F18-лютий!F18</f>
        <v>0</v>
      </c>
      <c r="V18" s="110">
        <f>G18-лютий!G18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v>33615</v>
      </c>
      <c r="G19" s="158">
        <v>27605.58</v>
      </c>
      <c r="H19" s="102">
        <f t="shared" si="9"/>
        <v>-6009.419999999998</v>
      </c>
      <c r="I19" s="208">
        <f t="shared" si="12"/>
        <v>0.8212280232039268</v>
      </c>
      <c r="J19" s="108">
        <f t="shared" si="1"/>
        <v>-124122.42</v>
      </c>
      <c r="K19" s="108">
        <f t="shared" si="11"/>
        <v>18.19412369503322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27633.86</v>
      </c>
      <c r="S19" s="111">
        <f t="shared" si="5"/>
        <v>-28.279999999998836</v>
      </c>
      <c r="T19" s="146">
        <f t="shared" si="6"/>
        <v>0.9989766178159692</v>
      </c>
      <c r="U19" s="107">
        <f>F19-лютий!F19</f>
        <v>24549</v>
      </c>
      <c r="V19" s="110">
        <f>G19-лютий!G19</f>
        <v>19077.010000000002</v>
      </c>
      <c r="W19" s="111">
        <f t="shared" si="10"/>
        <v>-5471.989999999998</v>
      </c>
      <c r="X19" s="148">
        <f t="shared" si="13"/>
        <v>0.777099270846063</v>
      </c>
      <c r="Y19" s="197">
        <f t="shared" si="8"/>
        <v>-0.2452039956708213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13215</v>
      </c>
      <c r="G20" s="141">
        <v>12638.37</v>
      </c>
      <c r="H20" s="170">
        <f t="shared" si="9"/>
        <v>-576.6299999999992</v>
      </c>
      <c r="I20" s="211">
        <f t="shared" si="12"/>
        <v>0.9563654937570942</v>
      </c>
      <c r="J20" s="171">
        <f t="shared" si="1"/>
        <v>-54069.63</v>
      </c>
      <c r="K20" s="171">
        <f t="shared" si="11"/>
        <v>18.945808598668826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17734.06</v>
      </c>
      <c r="S20" s="116">
        <f t="shared" si="5"/>
        <v>-5095.6900000000005</v>
      </c>
      <c r="T20" s="172">
        <f t="shared" si="6"/>
        <v>0.7126608345748238</v>
      </c>
      <c r="U20" s="136">
        <f>F20-лютий!F20</f>
        <v>4149</v>
      </c>
      <c r="V20" s="124">
        <f>G20-лютий!G20</f>
        <v>4109.800000000001</v>
      </c>
      <c r="W20" s="116">
        <f t="shared" si="10"/>
        <v>-39.19999999999891</v>
      </c>
      <c r="X20" s="180">
        <f t="shared" si="13"/>
        <v>0.9905519402265609</v>
      </c>
      <c r="Y20" s="197">
        <f t="shared" si="8"/>
        <v>-0.3856582143653102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3900</v>
      </c>
      <c r="G21" s="141">
        <v>3512.86</v>
      </c>
      <c r="H21" s="170">
        <f t="shared" si="9"/>
        <v>-387.1399999999999</v>
      </c>
      <c r="I21" s="211">
        <f t="shared" si="12"/>
        <v>0.9007333333333334</v>
      </c>
      <c r="J21" s="171">
        <f t="shared" si="1"/>
        <v>-12183.14</v>
      </c>
      <c r="K21" s="171">
        <f t="shared" si="11"/>
        <v>22.380606523955148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2236.79</v>
      </c>
      <c r="S21" s="116">
        <f t="shared" si="5"/>
        <v>1276.0700000000002</v>
      </c>
      <c r="T21" s="172"/>
      <c r="U21" s="136">
        <f>F21-лютий!F21</f>
        <v>3900</v>
      </c>
      <c r="V21" s="124">
        <f>G21-лютий!G21</f>
        <v>3512.86</v>
      </c>
      <c r="W21" s="116">
        <f t="shared" si="10"/>
        <v>-387.1399999999999</v>
      </c>
      <c r="X21" s="180">
        <f t="shared" si="13"/>
        <v>0.9007333333333334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16500</v>
      </c>
      <c r="G22" s="141">
        <v>11454.35</v>
      </c>
      <c r="H22" s="170">
        <f t="shared" si="9"/>
        <v>-5045.65</v>
      </c>
      <c r="I22" s="211">
        <f t="shared" si="12"/>
        <v>0.6942030303030303</v>
      </c>
      <c r="J22" s="171">
        <f t="shared" si="1"/>
        <v>-57869.65</v>
      </c>
      <c r="K22" s="171">
        <f t="shared" si="11"/>
        <v>16.522921354797763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7663.01</v>
      </c>
      <c r="S22" s="116">
        <f t="shared" si="5"/>
        <v>3791.34</v>
      </c>
      <c r="T22" s="172"/>
      <c r="U22" s="136">
        <f>F22-лютий!F22</f>
        <v>16500</v>
      </c>
      <c r="V22" s="124">
        <f>G22-лютий!G22</f>
        <v>11454.35</v>
      </c>
      <c r="W22" s="116">
        <f t="shared" si="10"/>
        <v>-5045.65</v>
      </c>
      <c r="X22" s="180">
        <f t="shared" si="13"/>
        <v>0.6942030303030303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118551.6</v>
      </c>
      <c r="G23" s="158">
        <v>120185.13</v>
      </c>
      <c r="H23" s="102">
        <f t="shared" si="9"/>
        <v>1633.5299999999988</v>
      </c>
      <c r="I23" s="208">
        <f t="shared" si="12"/>
        <v>1.013779063293958</v>
      </c>
      <c r="J23" s="108">
        <f t="shared" si="1"/>
        <v>-351382.06999999995</v>
      </c>
      <c r="K23" s="108">
        <f t="shared" si="11"/>
        <v>25.486320931566063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103972.5</v>
      </c>
      <c r="S23" s="111">
        <f t="shared" si="5"/>
        <v>16212.630000000005</v>
      </c>
      <c r="T23" s="147">
        <f aca="true" t="shared" si="14" ref="T23:T41">G23/R23</f>
        <v>1.1559319050710526</v>
      </c>
      <c r="U23" s="107">
        <f>F23-лютий!F23</f>
        <v>24978.5</v>
      </c>
      <c r="V23" s="110">
        <f>G23-лютий!G23</f>
        <v>27214.42</v>
      </c>
      <c r="W23" s="111">
        <f t="shared" si="10"/>
        <v>2235.9199999999983</v>
      </c>
      <c r="X23" s="148">
        <f t="shared" si="13"/>
        <v>1.089513781852393</v>
      </c>
      <c r="Y23" s="197">
        <f>T23-Q23</f>
        <v>0.06106035130635723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49869.009999999995</v>
      </c>
      <c r="G24" s="158">
        <f>G25+G32+G35</f>
        <v>51067.02</v>
      </c>
      <c r="H24" s="102">
        <f t="shared" si="9"/>
        <v>1198.010000000002</v>
      </c>
      <c r="I24" s="208">
        <f t="shared" si="12"/>
        <v>1.0240231358111982</v>
      </c>
      <c r="J24" s="108">
        <f t="shared" si="1"/>
        <v>-165774.98</v>
      </c>
      <c r="K24" s="148">
        <f aca="true" t="shared" si="15" ref="K24:K41">G24/E24</f>
        <v>0.23550336189483587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48563.36</v>
      </c>
      <c r="S24" s="111">
        <f t="shared" si="5"/>
        <v>2503.659999999996</v>
      </c>
      <c r="T24" s="147">
        <f t="shared" si="14"/>
        <v>1.0515545052895845</v>
      </c>
      <c r="U24" s="107">
        <f>F24-лютий!F24</f>
        <v>16176.499999999993</v>
      </c>
      <c r="V24" s="110">
        <f>G24-лютий!G24</f>
        <v>18158.999999999993</v>
      </c>
      <c r="W24" s="111">
        <f t="shared" si="10"/>
        <v>1982.5</v>
      </c>
      <c r="X24" s="148">
        <f t="shared" si="13"/>
        <v>1.1225543226285044</v>
      </c>
      <c r="Y24" s="197">
        <f aca="true" t="shared" si="16" ref="Y24:Y99">T24-Q24</f>
        <v>0.005176460457205767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6357.5</v>
      </c>
      <c r="G25" s="141">
        <v>6941.75</v>
      </c>
      <c r="H25" s="170">
        <f t="shared" si="9"/>
        <v>584.25</v>
      </c>
      <c r="I25" s="211">
        <f t="shared" si="12"/>
        <v>1.0918993314982304</v>
      </c>
      <c r="J25" s="171">
        <f t="shared" si="1"/>
        <v>-21842.25</v>
      </c>
      <c r="K25" s="180">
        <f t="shared" si="15"/>
        <v>0.2411669677598666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5213.94</v>
      </c>
      <c r="S25" s="116">
        <f t="shared" si="5"/>
        <v>1727.8100000000004</v>
      </c>
      <c r="T25" s="152">
        <f t="shared" si="14"/>
        <v>1.3313827930509365</v>
      </c>
      <c r="U25" s="136">
        <f>F25-лютий!F25</f>
        <v>936.5</v>
      </c>
      <c r="V25" s="124">
        <f>G25-лютий!G25</f>
        <v>1389.2299999999996</v>
      </c>
      <c r="W25" s="116">
        <f t="shared" si="10"/>
        <v>452.72999999999956</v>
      </c>
      <c r="X25" s="180">
        <f t="shared" si="13"/>
        <v>1.4834276561665771</v>
      </c>
      <c r="Y25" s="197">
        <f t="shared" si="16"/>
        <v>0.1987858470963979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211.61</v>
      </c>
      <c r="G26" s="139">
        <f>G28+G29</f>
        <v>511.56</v>
      </c>
      <c r="H26" s="158">
        <f t="shared" si="9"/>
        <v>299.95</v>
      </c>
      <c r="I26" s="212">
        <f t="shared" si="12"/>
        <v>2.4174660932848164</v>
      </c>
      <c r="J26" s="176">
        <f t="shared" si="1"/>
        <v>-1010.44</v>
      </c>
      <c r="K26" s="191">
        <f t="shared" si="15"/>
        <v>0.33611038107752955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157.08</v>
      </c>
      <c r="S26" s="201">
        <f t="shared" si="5"/>
        <v>354.48</v>
      </c>
      <c r="T26" s="162">
        <f t="shared" si="14"/>
        <v>3.2566844919786093</v>
      </c>
      <c r="U26" s="167">
        <f>F26-лютий!F26</f>
        <v>16.5</v>
      </c>
      <c r="V26" s="167">
        <f>G26-лютий!G26</f>
        <v>198.20999999999998</v>
      </c>
      <c r="W26" s="176">
        <f t="shared" si="10"/>
        <v>181.70999999999998</v>
      </c>
      <c r="X26" s="191">
        <f t="shared" si="13"/>
        <v>12.012727272727272</v>
      </c>
      <c r="Y26" s="197">
        <f t="shared" si="16"/>
        <v>2.250662904156626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6145.89</v>
      </c>
      <c r="G27" s="139">
        <f>G30+G31</f>
        <v>6430.19</v>
      </c>
      <c r="H27" s="158">
        <f t="shared" si="9"/>
        <v>284.2999999999993</v>
      </c>
      <c r="I27" s="212">
        <f t="shared" si="12"/>
        <v>1.0462585565312752</v>
      </c>
      <c r="J27" s="176">
        <f t="shared" si="1"/>
        <v>-20831.81</v>
      </c>
      <c r="K27" s="191">
        <f t="shared" si="15"/>
        <v>0.2358664074535984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5056.87</v>
      </c>
      <c r="S27" s="201">
        <f t="shared" si="5"/>
        <v>1373.3199999999997</v>
      </c>
      <c r="T27" s="162">
        <f t="shared" si="14"/>
        <v>1.2715751047584771</v>
      </c>
      <c r="U27" s="167">
        <f>F27-лютий!F27</f>
        <v>920</v>
      </c>
      <c r="V27" s="167">
        <f>G27-лютий!G27</f>
        <v>1191.0200000000004</v>
      </c>
      <c r="W27" s="176">
        <f t="shared" si="10"/>
        <v>271.02000000000044</v>
      </c>
      <c r="X27" s="191">
        <f t="shared" si="13"/>
        <v>1.2945869565217396</v>
      </c>
      <c r="Y27" s="197">
        <f t="shared" si="16"/>
        <v>0.13096673566694728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67.8</v>
      </c>
      <c r="G28" s="206">
        <v>81.57</v>
      </c>
      <c r="H28" s="218">
        <f t="shared" si="9"/>
        <v>13.769999999999996</v>
      </c>
      <c r="I28" s="220">
        <f t="shared" si="12"/>
        <v>1.2030973451327434</v>
      </c>
      <c r="J28" s="221">
        <f t="shared" si="1"/>
        <v>-234.43</v>
      </c>
      <c r="K28" s="222">
        <f t="shared" si="15"/>
        <v>0.258132911392405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132.33</v>
      </c>
      <c r="S28" s="221">
        <f t="shared" si="5"/>
        <v>-50.76000000000002</v>
      </c>
      <c r="T28" s="222">
        <f t="shared" si="14"/>
        <v>0.616413511675357</v>
      </c>
      <c r="U28" s="206">
        <f>F28-лютий!F28</f>
        <v>8.5</v>
      </c>
      <c r="V28" s="206">
        <f>G28-лютий!G28</f>
        <v>7.409999999999997</v>
      </c>
      <c r="W28" s="221">
        <f t="shared" si="10"/>
        <v>-1.0900000000000034</v>
      </c>
      <c r="X28" s="222">
        <f t="shared" si="13"/>
        <v>0.8717647058823526</v>
      </c>
      <c r="Y28" s="354">
        <f t="shared" si="16"/>
        <v>-0.5288874922752066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143.81</v>
      </c>
      <c r="G29" s="206">
        <v>429.99</v>
      </c>
      <c r="H29" s="218">
        <f t="shared" si="9"/>
        <v>286.18</v>
      </c>
      <c r="I29" s="220">
        <f t="shared" si="12"/>
        <v>2.9899867881232183</v>
      </c>
      <c r="J29" s="221">
        <f t="shared" si="1"/>
        <v>-776.01</v>
      </c>
      <c r="K29" s="222">
        <f t="shared" si="15"/>
        <v>0.3565422885572139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24.75</v>
      </c>
      <c r="S29" s="221">
        <f t="shared" si="5"/>
        <v>405.24</v>
      </c>
      <c r="T29" s="222">
        <f t="shared" si="14"/>
        <v>17.373333333333335</v>
      </c>
      <c r="U29" s="206">
        <f>F29-лютий!F29</f>
        <v>8</v>
      </c>
      <c r="V29" s="206">
        <f>G29-лютий!G29</f>
        <v>190.8</v>
      </c>
      <c r="W29" s="221">
        <f t="shared" si="10"/>
        <v>182.8</v>
      </c>
      <c r="X29" s="222">
        <f t="shared" si="13"/>
        <v>23.85</v>
      </c>
      <c r="Y29" s="354">
        <f t="shared" si="16"/>
        <v>16.39837820067153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320.09</v>
      </c>
      <c r="G30" s="206">
        <v>552.95</v>
      </c>
      <c r="H30" s="218">
        <f t="shared" si="9"/>
        <v>232.86000000000007</v>
      </c>
      <c r="I30" s="220">
        <f t="shared" si="12"/>
        <v>1.727482895435659</v>
      </c>
      <c r="J30" s="221">
        <f t="shared" si="1"/>
        <v>-1802.05</v>
      </c>
      <c r="K30" s="222">
        <f t="shared" si="15"/>
        <v>0.2347983014861996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65.29</v>
      </c>
      <c r="S30" s="221">
        <f t="shared" si="5"/>
        <v>487.66</v>
      </c>
      <c r="T30" s="222">
        <f t="shared" si="14"/>
        <v>8.469137693368051</v>
      </c>
      <c r="U30" s="206">
        <f>F30-лютий!F30</f>
        <v>20</v>
      </c>
      <c r="V30" s="206">
        <f>G30-лютий!G30</f>
        <v>87.01000000000005</v>
      </c>
      <c r="W30" s="221">
        <f t="shared" si="10"/>
        <v>67.01000000000005</v>
      </c>
      <c r="X30" s="222">
        <f t="shared" si="13"/>
        <v>4.350500000000002</v>
      </c>
      <c r="Y30" s="354">
        <f t="shared" si="16"/>
        <v>7.408446329782869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5825.8</v>
      </c>
      <c r="G31" s="206">
        <v>5877.24</v>
      </c>
      <c r="H31" s="218">
        <f t="shared" si="9"/>
        <v>51.4399999999996</v>
      </c>
      <c r="I31" s="220">
        <f t="shared" si="12"/>
        <v>1.0088296886264547</v>
      </c>
      <c r="J31" s="221">
        <f t="shared" si="1"/>
        <v>-19029.760000000002</v>
      </c>
      <c r="K31" s="222">
        <f t="shared" si="15"/>
        <v>0.23596739872325048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4991.58</v>
      </c>
      <c r="S31" s="221">
        <f t="shared" si="5"/>
        <v>885.6599999999999</v>
      </c>
      <c r="T31" s="222">
        <f t="shared" si="14"/>
        <v>1.1774307934561803</v>
      </c>
      <c r="U31" s="206">
        <f>F31-лютий!F31</f>
        <v>900</v>
      </c>
      <c r="V31" s="206">
        <f>G31-лютий!G31</f>
        <v>1104.0100000000002</v>
      </c>
      <c r="W31" s="221"/>
      <c r="X31" s="222">
        <f t="shared" si="13"/>
        <v>1.226677777777778</v>
      </c>
      <c r="Y31" s="354">
        <f t="shared" si="16"/>
        <v>0.0286385082188092</v>
      </c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160.03</v>
      </c>
      <c r="G32" s="120">
        <v>345.07</v>
      </c>
      <c r="H32" s="170">
        <f t="shared" si="9"/>
        <v>185.04</v>
      </c>
      <c r="I32" s="211">
        <f t="shared" si="12"/>
        <v>2.156283196900581</v>
      </c>
      <c r="J32" s="171">
        <f t="shared" si="1"/>
        <v>63.06999999999999</v>
      </c>
      <c r="K32" s="180">
        <f t="shared" si="15"/>
        <v>1.2236524822695036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31.25</v>
      </c>
      <c r="S32" s="121">
        <f t="shared" si="5"/>
        <v>313.82</v>
      </c>
      <c r="T32" s="150">
        <f t="shared" si="14"/>
        <v>11.04224</v>
      </c>
      <c r="U32" s="136">
        <f>F32-лютий!F32</f>
        <v>1</v>
      </c>
      <c r="V32" s="124">
        <f>G32-лютий!G32</f>
        <v>79.25</v>
      </c>
      <c r="W32" s="116">
        <f t="shared" si="10"/>
        <v>78.25</v>
      </c>
      <c r="X32" s="180">
        <f t="shared" si="13"/>
        <v>79.25</v>
      </c>
      <c r="Y32" s="198">
        <f t="shared" si="16"/>
        <v>10.60520686606949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121.34</v>
      </c>
      <c r="H33" s="71">
        <f t="shared" si="9"/>
        <v>93.49000000000001</v>
      </c>
      <c r="I33" s="209">
        <f t="shared" si="12"/>
        <v>4.356912028725314</v>
      </c>
      <c r="J33" s="72">
        <f t="shared" si="1"/>
        <v>21.340000000000003</v>
      </c>
      <c r="K33" s="75">
        <f t="shared" si="15"/>
        <v>1.2134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-50</v>
      </c>
      <c r="S33" s="72">
        <f t="shared" si="5"/>
        <v>171.34</v>
      </c>
      <c r="T33" s="75">
        <f t="shared" si="14"/>
        <v>-2.4268</v>
      </c>
      <c r="U33" s="73">
        <f>F33-лютий!F33</f>
        <v>0</v>
      </c>
      <c r="V33" s="98">
        <f>G33-лютий!G33</f>
        <v>60.5</v>
      </c>
      <c r="W33" s="74">
        <f t="shared" si="10"/>
        <v>60.5</v>
      </c>
      <c r="X33" s="75" t="e">
        <f t="shared" si="13"/>
        <v>#DIV/0!</v>
      </c>
      <c r="Y33" s="354">
        <f t="shared" si="16"/>
        <v>-2.841118859794498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132.18</v>
      </c>
      <c r="G34" s="94">
        <v>223.73</v>
      </c>
      <c r="H34" s="71">
        <f t="shared" si="9"/>
        <v>91.54999999999998</v>
      </c>
      <c r="I34" s="209">
        <f t="shared" si="12"/>
        <v>1.6926161295203508</v>
      </c>
      <c r="J34" s="72">
        <f t="shared" si="1"/>
        <v>41.72999999999999</v>
      </c>
      <c r="K34" s="75">
        <f t="shared" si="15"/>
        <v>1.2292857142857143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81.25</v>
      </c>
      <c r="S34" s="72">
        <f t="shared" si="5"/>
        <v>142.48</v>
      </c>
      <c r="T34" s="75">
        <f t="shared" si="14"/>
        <v>2.7536</v>
      </c>
      <c r="U34" s="73">
        <f>F34-лютий!F34</f>
        <v>1</v>
      </c>
      <c r="V34" s="98">
        <f>G34-лютий!G34</f>
        <v>18.75</v>
      </c>
      <c r="W34" s="74"/>
      <c r="X34" s="75">
        <f t="shared" si="13"/>
        <v>18.75</v>
      </c>
      <c r="Y34" s="354">
        <f t="shared" si="16"/>
        <v>2.3030045703250726</v>
      </c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43351.479999999996</v>
      </c>
      <c r="G35" s="120">
        <v>43780.2</v>
      </c>
      <c r="H35" s="102">
        <f t="shared" si="9"/>
        <v>428.72000000000116</v>
      </c>
      <c r="I35" s="211">
        <f t="shared" si="12"/>
        <v>1.0098893970863279</v>
      </c>
      <c r="J35" s="171">
        <f t="shared" si="1"/>
        <v>-143995.8</v>
      </c>
      <c r="K35" s="180">
        <f t="shared" si="15"/>
        <v>0.23315120143149282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43318.17</v>
      </c>
      <c r="S35" s="122">
        <f t="shared" si="5"/>
        <v>462.02999999999884</v>
      </c>
      <c r="T35" s="149">
        <f t="shared" si="14"/>
        <v>1.0106659630358346</v>
      </c>
      <c r="U35" s="136">
        <f>F35-лютий!F35</f>
        <v>15238.999999999996</v>
      </c>
      <c r="V35" s="124">
        <f>G35-лютий!G35</f>
        <v>16690.519999999997</v>
      </c>
      <c r="W35" s="116">
        <f t="shared" si="10"/>
        <v>1451.5200000000004</v>
      </c>
      <c r="X35" s="180">
        <f t="shared" si="13"/>
        <v>1.0952503445107946</v>
      </c>
      <c r="Y35" s="198">
        <f t="shared" si="16"/>
        <v>-0.025787816891384763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7" ref="E36:G37">E38+E40</f>
        <v>60690</v>
      </c>
      <c r="F36" s="139">
        <f t="shared" si="17"/>
        <v>14365.23</v>
      </c>
      <c r="G36" s="139">
        <v>4326.71</v>
      </c>
      <c r="H36" s="158">
        <f t="shared" si="9"/>
        <v>-10038.52</v>
      </c>
      <c r="I36" s="212">
        <f t="shared" si="12"/>
        <v>0.30119322837156104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14435.439999999999</v>
      </c>
      <c r="S36" s="140">
        <f t="shared" si="5"/>
        <v>-10108.73</v>
      </c>
      <c r="T36" s="162">
        <f t="shared" si="14"/>
        <v>0.2997283075541861</v>
      </c>
      <c r="U36" s="167">
        <f>F36-лютий!F36</f>
        <v>5139</v>
      </c>
      <c r="V36" s="167">
        <f>G36-лютий!G36</f>
        <v>0</v>
      </c>
      <c r="W36" s="176">
        <f t="shared" si="10"/>
        <v>-5139</v>
      </c>
      <c r="X36" s="191">
        <f aca="true" t="shared" si="18" ref="X36:X41">V36/U36*100</f>
        <v>0</v>
      </c>
      <c r="Y36" s="197">
        <f t="shared" si="16"/>
        <v>-0.7357838384282862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7"/>
        <v>127086</v>
      </c>
      <c r="F37" s="139">
        <f t="shared" si="17"/>
        <v>28986.25</v>
      </c>
      <c r="G37" s="139">
        <f t="shared" si="17"/>
        <v>30130.51</v>
      </c>
      <c r="H37" s="158">
        <f t="shared" si="9"/>
        <v>1144.2599999999984</v>
      </c>
      <c r="I37" s="212">
        <f t="shared" si="12"/>
        <v>1.039475958428565</v>
      </c>
      <c r="J37" s="176">
        <f t="shared" si="1"/>
        <v>-96955.49</v>
      </c>
      <c r="K37" s="191">
        <f t="shared" si="15"/>
        <v>0.23708756275278156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28882.730000000003</v>
      </c>
      <c r="S37" s="140">
        <f t="shared" si="5"/>
        <v>1247.7799999999952</v>
      </c>
      <c r="T37" s="162">
        <f t="shared" si="14"/>
        <v>1.0432015948630893</v>
      </c>
      <c r="U37" s="167">
        <f>F37-січень!F37</f>
        <v>19700</v>
      </c>
      <c r="V37" s="167">
        <f>G37-лютий!G37</f>
        <v>11160.849999999999</v>
      </c>
      <c r="W37" s="176">
        <f t="shared" si="10"/>
        <v>-8539.150000000001</v>
      </c>
      <c r="X37" s="191">
        <f>V37/U37</f>
        <v>0.5665406091370557</v>
      </c>
      <c r="Y37" s="197">
        <f t="shared" si="16"/>
        <v>0.006297532598912081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13784.4</v>
      </c>
      <c r="G38" s="206">
        <v>13383.57</v>
      </c>
      <c r="H38" s="218">
        <f t="shared" si="9"/>
        <v>-400.8299999999999</v>
      </c>
      <c r="I38" s="220">
        <f t="shared" si="12"/>
        <v>0.970921476451641</v>
      </c>
      <c r="J38" s="221">
        <f t="shared" si="1"/>
        <v>-43906.43</v>
      </c>
      <c r="K38" s="222">
        <f t="shared" si="15"/>
        <v>0.23361092686332693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14138.14</v>
      </c>
      <c r="S38" s="221">
        <f t="shared" si="5"/>
        <v>-754.5699999999997</v>
      </c>
      <c r="T38" s="222">
        <f t="shared" si="14"/>
        <v>0.9466287644626521</v>
      </c>
      <c r="U38" s="206">
        <f>F38-лютий!F38</f>
        <v>4900</v>
      </c>
      <c r="V38" s="206">
        <f>G38-лютий!G38</f>
        <v>5428.759999999999</v>
      </c>
      <c r="W38" s="221">
        <f t="shared" si="10"/>
        <v>528.7599999999993</v>
      </c>
      <c r="X38" s="222">
        <f t="shared" si="18"/>
        <v>110.79102040816325</v>
      </c>
      <c r="Y38" s="354">
        <f t="shared" si="16"/>
        <v>-0.09036488433589063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24393.45</v>
      </c>
      <c r="G39" s="206">
        <v>25204.71</v>
      </c>
      <c r="H39" s="218">
        <f t="shared" si="9"/>
        <v>811.2599999999984</v>
      </c>
      <c r="I39" s="220">
        <f t="shared" si="12"/>
        <v>1.033257288329449</v>
      </c>
      <c r="J39" s="221">
        <f t="shared" si="1"/>
        <v>-80781.29000000001</v>
      </c>
      <c r="K39" s="222">
        <f t="shared" si="15"/>
        <v>0.2378116921102787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24172.4</v>
      </c>
      <c r="S39" s="221">
        <f t="shared" si="5"/>
        <v>1032.3099999999977</v>
      </c>
      <c r="T39" s="222">
        <f t="shared" si="14"/>
        <v>1.0427061441975145</v>
      </c>
      <c r="U39" s="206">
        <f>F39-лютий!F39</f>
        <v>8600</v>
      </c>
      <c r="V39" s="206">
        <f>G39-лютий!G39</f>
        <v>9345.289999999999</v>
      </c>
      <c r="W39" s="221">
        <f t="shared" si="10"/>
        <v>745.289999999999</v>
      </c>
      <c r="X39" s="222">
        <f t="shared" si="18"/>
        <v>108.66616279069767</v>
      </c>
      <c r="Y39" s="354">
        <f t="shared" si="16"/>
        <v>0.005624095768191895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580.83</v>
      </c>
      <c r="G40" s="206">
        <v>266.12</v>
      </c>
      <c r="H40" s="218">
        <f t="shared" si="9"/>
        <v>-314.71000000000004</v>
      </c>
      <c r="I40" s="220">
        <f t="shared" si="12"/>
        <v>0.45817192638121307</v>
      </c>
      <c r="J40" s="221">
        <f t="shared" si="1"/>
        <v>-3133.88</v>
      </c>
      <c r="K40" s="222">
        <f t="shared" si="15"/>
        <v>0.07827058823529412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297.3</v>
      </c>
      <c r="S40" s="221">
        <f t="shared" si="5"/>
        <v>-31.180000000000007</v>
      </c>
      <c r="T40" s="222">
        <f t="shared" si="14"/>
        <v>0.8951227716111672</v>
      </c>
      <c r="U40" s="206">
        <f>F40-лютий!F40</f>
        <v>239.00000000000006</v>
      </c>
      <c r="V40" s="206">
        <f>G40-лютий!G40</f>
        <v>100.91</v>
      </c>
      <c r="W40" s="221">
        <f t="shared" si="10"/>
        <v>-138.09000000000006</v>
      </c>
      <c r="X40" s="222">
        <f t="shared" si="18"/>
        <v>42.22175732217572</v>
      </c>
      <c r="Y40" s="354">
        <f t="shared" si="16"/>
        <v>-0.11604768793606635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4592.8</v>
      </c>
      <c r="G41" s="206">
        <v>4925.8</v>
      </c>
      <c r="H41" s="218">
        <f t="shared" si="9"/>
        <v>333</v>
      </c>
      <c r="I41" s="220">
        <f t="shared" si="12"/>
        <v>1.0725047901062532</v>
      </c>
      <c r="J41" s="221">
        <f t="shared" si="1"/>
        <v>-16174.2</v>
      </c>
      <c r="K41" s="222">
        <f t="shared" si="15"/>
        <v>0.23345023696682465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4710.33</v>
      </c>
      <c r="S41" s="221">
        <f t="shared" si="5"/>
        <v>215.47000000000025</v>
      </c>
      <c r="T41" s="222">
        <f t="shared" si="14"/>
        <v>1.0457441410686725</v>
      </c>
      <c r="U41" s="206">
        <f>F41-лютий!F41</f>
        <v>1500</v>
      </c>
      <c r="V41" s="206">
        <f>G41-лютий!G41</f>
        <v>1815.5600000000004</v>
      </c>
      <c r="W41" s="221">
        <f t="shared" si="10"/>
        <v>315.5600000000004</v>
      </c>
      <c r="X41" s="222">
        <f t="shared" si="18"/>
        <v>121.03733333333335</v>
      </c>
      <c r="Y41" s="354">
        <f t="shared" si="16"/>
        <v>0.009733185866571903</v>
      </c>
    </row>
    <row r="42" spans="1:25" s="6" customFormat="1" ht="18" hidden="1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F42-лютий!F42</f>
        <v>0</v>
      </c>
      <c r="V42" s="110">
        <f>G42-лютий!G42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33.43</v>
      </c>
      <c r="G43" s="106">
        <v>47.23</v>
      </c>
      <c r="H43" s="102">
        <f t="shared" si="9"/>
        <v>13.799999999999997</v>
      </c>
      <c r="I43" s="208">
        <f>G43/F43</f>
        <v>1.4128028716721506</v>
      </c>
      <c r="J43" s="108">
        <f t="shared" si="1"/>
        <v>-127.17000000000002</v>
      </c>
      <c r="K43" s="148">
        <f>G43/E43</f>
        <v>0.2708142201834862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37.2</v>
      </c>
      <c r="S43" s="108">
        <f t="shared" si="5"/>
        <v>10.029999999999994</v>
      </c>
      <c r="T43" s="148">
        <f aca="true" t="shared" si="19" ref="T43:T51">G43/R43</f>
        <v>1.2696236559139784</v>
      </c>
      <c r="U43" s="107">
        <f>F43-лютий!F43</f>
        <v>1</v>
      </c>
      <c r="V43" s="110">
        <f>G43-лютий!G43</f>
        <v>5.099999999999994</v>
      </c>
      <c r="W43" s="111">
        <f t="shared" si="10"/>
        <v>4.099999999999994</v>
      </c>
      <c r="X43" s="148">
        <f>V43/U43</f>
        <v>5.099999999999994</v>
      </c>
      <c r="Y43" s="355">
        <f t="shared" si="16"/>
        <v>0.1575206078333764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25.9</v>
      </c>
      <c r="G44" s="94">
        <v>38.9</v>
      </c>
      <c r="H44" s="71">
        <f t="shared" si="9"/>
        <v>13</v>
      </c>
      <c r="I44" s="209">
        <f>G44/F44</f>
        <v>1.501930501930502</v>
      </c>
      <c r="J44" s="72">
        <f t="shared" si="1"/>
        <v>-62.00000000000001</v>
      </c>
      <c r="K44" s="75">
        <f>G44/E44</f>
        <v>0.3855302279484638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22.86</v>
      </c>
      <c r="S44" s="72">
        <f t="shared" si="5"/>
        <v>16.04</v>
      </c>
      <c r="T44" s="75">
        <f t="shared" si="19"/>
        <v>1.7016622922134732</v>
      </c>
      <c r="U44" s="73">
        <f>F44-лютий!F44</f>
        <v>1</v>
      </c>
      <c r="V44" s="98">
        <f>G44-лютий!G44</f>
        <v>5.100000000000001</v>
      </c>
      <c r="W44" s="74">
        <f t="shared" si="10"/>
        <v>4.100000000000001</v>
      </c>
      <c r="X44" s="75">
        <f>V44/U44</f>
        <v>5.100000000000001</v>
      </c>
      <c r="Y44" s="354">
        <f t="shared" si="16"/>
        <v>0.6411199335840849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19"/>
        <v>0.5808926080892608</v>
      </c>
      <c r="U45" s="73">
        <f>F45-лютий!F45</f>
        <v>0</v>
      </c>
      <c r="V45" s="98">
        <f>G45-лютий!G45</f>
        <v>0</v>
      </c>
      <c r="W45" s="74">
        <f t="shared" si="10"/>
        <v>0</v>
      </c>
      <c r="X45" s="75" t="e">
        <f>V45/U45</f>
        <v>#DIV/0!</v>
      </c>
      <c r="Y45" s="354">
        <f t="shared" si="16"/>
        <v>-0.6107416331558754</v>
      </c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-1.76</v>
      </c>
      <c r="H46" s="102">
        <f t="shared" si="9"/>
        <v>-1.76</v>
      </c>
      <c r="I46" s="208"/>
      <c r="J46" s="108">
        <f t="shared" si="1"/>
        <v>-1.76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-24.87</v>
      </c>
      <c r="S46" s="108">
        <f t="shared" si="5"/>
        <v>23.11</v>
      </c>
      <c r="T46" s="148">
        <f t="shared" si="19"/>
        <v>0.07076799356654603</v>
      </c>
      <c r="U46" s="107">
        <f>F46-лютий!F46</f>
        <v>0</v>
      </c>
      <c r="V46" s="110">
        <f>G46-лютий!G46</f>
        <v>0.5799999999999998</v>
      </c>
      <c r="W46" s="111">
        <f t="shared" si="10"/>
        <v>0.5799999999999998</v>
      </c>
      <c r="X46" s="148"/>
      <c r="Y46" s="197">
        <f t="shared" si="16"/>
        <v>0.07076799356654603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68649.16</v>
      </c>
      <c r="G47" s="113">
        <v>69072.65</v>
      </c>
      <c r="H47" s="102">
        <f t="shared" si="9"/>
        <v>423.4899999999907</v>
      </c>
      <c r="I47" s="208">
        <f>G47/F47</f>
        <v>1.0061689028678573</v>
      </c>
      <c r="J47" s="108">
        <f t="shared" si="1"/>
        <v>-185478.15</v>
      </c>
      <c r="K47" s="148">
        <f>G47/E47</f>
        <v>0.2713511409117551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55396.62</v>
      </c>
      <c r="S47" s="123">
        <f t="shared" si="5"/>
        <v>13676.029999999992</v>
      </c>
      <c r="T47" s="160">
        <f t="shared" si="19"/>
        <v>1.246874809329522</v>
      </c>
      <c r="U47" s="107">
        <f>F47-лютий!F47</f>
        <v>8801</v>
      </c>
      <c r="V47" s="110">
        <f>G47-лютий!G47</f>
        <v>9049.749999999993</v>
      </c>
      <c r="W47" s="111">
        <f t="shared" si="10"/>
        <v>248.74999999999272</v>
      </c>
      <c r="X47" s="148">
        <f>V47/U47</f>
        <v>1.0282638336552656</v>
      </c>
      <c r="Y47" s="197">
        <f t="shared" si="16"/>
        <v>0.10727317484461807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19"/>
        <v>1</v>
      </c>
      <c r="U48" s="73">
        <f>F48-лютий!F48</f>
        <v>0</v>
      </c>
      <c r="V48" s="98">
        <f>G48-лютий!G48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14983.87</v>
      </c>
      <c r="G49" s="94">
        <v>14506.24</v>
      </c>
      <c r="H49" s="71">
        <f>G49-F49</f>
        <v>-477.630000000001</v>
      </c>
      <c r="I49" s="209">
        <f>G49/F49</f>
        <v>0.9681237223761284</v>
      </c>
      <c r="J49" s="72">
        <f t="shared" si="1"/>
        <v>-41208.76</v>
      </c>
      <c r="K49" s="75">
        <f>G49/E49</f>
        <v>0.26036507224266353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10947.92</v>
      </c>
      <c r="S49" s="85">
        <f t="shared" si="5"/>
        <v>3558.3199999999997</v>
      </c>
      <c r="T49" s="153">
        <f t="shared" si="19"/>
        <v>1.3250224700217028</v>
      </c>
      <c r="U49" s="73">
        <f>F49-лютий!F49</f>
        <v>1400</v>
      </c>
      <c r="V49" s="98">
        <f>G49-лютий!G49</f>
        <v>912.6100000000006</v>
      </c>
      <c r="W49" s="74">
        <f t="shared" si="10"/>
        <v>-487.3899999999994</v>
      </c>
      <c r="X49" s="75">
        <f>V49/U49</f>
        <v>0.6518642857142861</v>
      </c>
      <c r="Y49" s="197">
        <f t="shared" si="16"/>
        <v>0.08774555849938248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53640.49</v>
      </c>
      <c r="G50" s="94">
        <v>54544.1</v>
      </c>
      <c r="H50" s="71">
        <f>G50-F50</f>
        <v>903.6100000000006</v>
      </c>
      <c r="I50" s="209">
        <f>G50/F50</f>
        <v>1.0168456701271744</v>
      </c>
      <c r="J50" s="72">
        <f t="shared" si="1"/>
        <v>-144210.9</v>
      </c>
      <c r="K50" s="75">
        <f>G50/E50</f>
        <v>0.2744288194007698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44432.58</v>
      </c>
      <c r="S50" s="85">
        <f t="shared" si="5"/>
        <v>10111.519999999997</v>
      </c>
      <c r="T50" s="153">
        <f t="shared" si="19"/>
        <v>1.2275699497980985</v>
      </c>
      <c r="U50" s="73">
        <f>F50-лютий!F50</f>
        <v>7400</v>
      </c>
      <c r="V50" s="98">
        <f>G50-лютий!G50</f>
        <v>8136.659999999996</v>
      </c>
      <c r="W50" s="74">
        <f t="shared" si="10"/>
        <v>736.6599999999962</v>
      </c>
      <c r="X50" s="75">
        <f>V50/U50</f>
        <v>1.099548648648648</v>
      </c>
      <c r="Y50" s="197">
        <f t="shared" si="16"/>
        <v>0.11266148274268861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24.8</v>
      </c>
      <c r="G51" s="94">
        <v>22.31</v>
      </c>
      <c r="H51" s="71">
        <f>G51-F51</f>
        <v>-2.490000000000002</v>
      </c>
      <c r="I51" s="209">
        <f>G51/F51</f>
        <v>0.8995967741935483</v>
      </c>
      <c r="J51" s="72">
        <f t="shared" si="1"/>
        <v>-58.489999999999995</v>
      </c>
      <c r="K51" s="75">
        <f>G51/E51</f>
        <v>0.2761138613861386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6.199999999999999</v>
      </c>
      <c r="T51" s="153">
        <f t="shared" si="19"/>
        <v>1.3848541278708877</v>
      </c>
      <c r="U51" s="73">
        <f>F51-лютий!F51</f>
        <v>1</v>
      </c>
      <c r="V51" s="98">
        <f>G51-лютий!G51</f>
        <v>0.46999999999999886</v>
      </c>
      <c r="W51" s="74">
        <f t="shared" si="10"/>
        <v>-0.5300000000000011</v>
      </c>
      <c r="X51" s="75"/>
      <c r="Y51" s="197">
        <f t="shared" si="16"/>
        <v>0.19011806399390996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73">
        <f>F52-лютий!F52</f>
        <v>0</v>
      </c>
      <c r="V52" s="98">
        <f>G52-лютий!G52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10643.047999999999</v>
      </c>
      <c r="G53" s="103">
        <f>G54+G55+G56+G57+G58+G60+G62+G63+G64+G65+G66+G71+G72+G76+G59+G61</f>
        <v>11497.49</v>
      </c>
      <c r="H53" s="103">
        <f>H54+H55+H56+H57+H58+H60+H62+H63+H64+H65+H66+H71+H72+H76+H59+H61</f>
        <v>854.4419999999994</v>
      </c>
      <c r="I53" s="143">
        <f aca="true" t="shared" si="20" ref="I53:I72">G53/F53</f>
        <v>1.0802817012570085</v>
      </c>
      <c r="J53" s="104">
        <f>G53-E53</f>
        <v>-35751.41</v>
      </c>
      <c r="K53" s="156">
        <f aca="true" t="shared" si="21" ref="K53:K72">G53/E53</f>
        <v>0.24333878672307713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13874.23</v>
      </c>
      <c r="S53" s="103">
        <f t="shared" si="5"/>
        <v>-2376.74</v>
      </c>
      <c r="T53" s="143">
        <f>G53/R53</f>
        <v>0.8286939167074497</v>
      </c>
      <c r="U53" s="103">
        <f>U54+U55+U56+U57+U58+U60+U62+U63+U64+U65+U66+U71+U72+U76+U59+U61</f>
        <v>3607.5</v>
      </c>
      <c r="V53" s="103">
        <f>V54+V55+V56+V57+V58+V60+V62+V63+V64+V65+V66+V71+V72+V76+V59+V61</f>
        <v>4551.8099999999995</v>
      </c>
      <c r="W53" s="103">
        <f>W54+W55+W56+W57+W58+W60+W62+W63+W64+W65+W66+W71+W72+W76</f>
        <v>934.1099999999994</v>
      </c>
      <c r="X53" s="143">
        <f>V53/U53</f>
        <v>1.2617629937629937</v>
      </c>
      <c r="Y53" s="197">
        <f t="shared" si="16"/>
        <v>0.14768739301752776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58.91</v>
      </c>
      <c r="H54" s="102">
        <f aca="true" t="shared" si="22" ref="H54:H78">G54-F54</f>
        <v>52.8</v>
      </c>
      <c r="I54" s="213">
        <f t="shared" si="20"/>
        <v>9.641571194762683</v>
      </c>
      <c r="J54" s="115">
        <f>G54-E54</f>
        <v>-2591.09</v>
      </c>
      <c r="K54" s="155">
        <f t="shared" si="21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-186.82</v>
      </c>
      <c r="S54" s="115">
        <f t="shared" si="5"/>
        <v>245.73</v>
      </c>
      <c r="T54" s="155">
        <f>G54/R54</f>
        <v>-0.3153302644256504</v>
      </c>
      <c r="U54" s="107">
        <f>F54-лютий!F54</f>
        <v>0</v>
      </c>
      <c r="V54" s="110">
        <f>G54-лютий!G54</f>
        <v>3.4199999999999946</v>
      </c>
      <c r="W54" s="111">
        <f aca="true" t="shared" si="23" ref="W54:W78">V54-U54</f>
        <v>3.4199999999999946</v>
      </c>
      <c r="X54" s="155" t="e">
        <f>V54/U54</f>
        <v>#DIV/0!</v>
      </c>
      <c r="Y54" s="197">
        <f t="shared" si="16"/>
        <v>-1.3214199544740945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580.078</v>
      </c>
      <c r="G55" s="106">
        <v>1099.77</v>
      </c>
      <c r="H55" s="102">
        <f t="shared" si="22"/>
        <v>519.692</v>
      </c>
      <c r="I55" s="213">
        <f t="shared" si="20"/>
        <v>1.8959002065239503</v>
      </c>
      <c r="J55" s="115">
        <f aca="true" t="shared" si="24" ref="J55:J78">G55-E55</f>
        <v>-3900.23</v>
      </c>
      <c r="K55" s="155">
        <f t="shared" si="21"/>
        <v>0.21995399999999998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4701.84</v>
      </c>
      <c r="S55" s="115">
        <f t="shared" si="5"/>
        <v>-3602.07</v>
      </c>
      <c r="T55" s="155">
        <f aca="true" t="shared" si="27" ref="T55:T78">G55/R55</f>
        <v>0.23390204685825122</v>
      </c>
      <c r="U55" s="107">
        <f>F55-лютий!F55</f>
        <v>300</v>
      </c>
      <c r="V55" s="110">
        <f>G55-лютий!G55</f>
        <v>819.69</v>
      </c>
      <c r="W55" s="111">
        <f t="shared" si="23"/>
        <v>519.69</v>
      </c>
      <c r="X55" s="155">
        <f aca="true" t="shared" si="28" ref="X55:X77">V55/U55</f>
        <v>2.7323000000000004</v>
      </c>
      <c r="Y55" s="197">
        <f t="shared" si="16"/>
        <v>0.05531531085230784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28</v>
      </c>
      <c r="G56" s="106">
        <v>51.82</v>
      </c>
      <c r="H56" s="102">
        <f t="shared" si="22"/>
        <v>23.82</v>
      </c>
      <c r="I56" s="213">
        <f t="shared" si="20"/>
        <v>1.8507142857142858</v>
      </c>
      <c r="J56" s="115">
        <f t="shared" si="24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72.08</v>
      </c>
      <c r="S56" s="115">
        <f t="shared" si="5"/>
        <v>-20.259999999999998</v>
      </c>
      <c r="T56" s="155">
        <f t="shared" si="27"/>
        <v>0.7189234184239733</v>
      </c>
      <c r="U56" s="107">
        <f>F56-лютий!F56</f>
        <v>14</v>
      </c>
      <c r="V56" s="110">
        <f>G56-лютий!G56</f>
        <v>38.59</v>
      </c>
      <c r="W56" s="111">
        <f t="shared" si="23"/>
        <v>24.590000000000003</v>
      </c>
      <c r="X56" s="155">
        <f t="shared" si="28"/>
        <v>2.7564285714285717</v>
      </c>
      <c r="Y56" s="197">
        <f t="shared" si="16"/>
        <v>-0.31173542045404357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4</v>
      </c>
      <c r="G57" s="106">
        <v>2.02</v>
      </c>
      <c r="H57" s="102">
        <f t="shared" si="22"/>
        <v>-1.98</v>
      </c>
      <c r="I57" s="213">
        <f t="shared" si="20"/>
        <v>0.505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F57-лютий!F57</f>
        <v>1</v>
      </c>
      <c r="V57" s="110">
        <f>G57-лютий!G57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148.43</v>
      </c>
      <c r="G58" s="106">
        <v>224.59</v>
      </c>
      <c r="H58" s="102">
        <f t="shared" si="22"/>
        <v>76.16</v>
      </c>
      <c r="I58" s="213">
        <f t="shared" si="20"/>
        <v>1.5131038199824833</v>
      </c>
      <c r="J58" s="115">
        <f t="shared" si="24"/>
        <v>-519.41</v>
      </c>
      <c r="K58" s="155">
        <f t="shared" si="21"/>
        <v>0.3018682795698925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277.76</v>
      </c>
      <c r="S58" s="115">
        <f t="shared" si="5"/>
        <v>-53.16999999999999</v>
      </c>
      <c r="T58" s="155">
        <f t="shared" si="27"/>
        <v>0.8085757488479263</v>
      </c>
      <c r="U58" s="107">
        <f>F58-лютий!F58</f>
        <v>60</v>
      </c>
      <c r="V58" s="110">
        <f>G58-лютий!G58</f>
        <v>172.41</v>
      </c>
      <c r="W58" s="111">
        <f t="shared" si="23"/>
        <v>112.41</v>
      </c>
      <c r="X58" s="155">
        <f t="shared" si="28"/>
        <v>2.8735</v>
      </c>
      <c r="Y58" s="197">
        <f t="shared" si="16"/>
        <v>-0.24627956300076448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20</v>
      </c>
      <c r="G59" s="106">
        <v>8.62</v>
      </c>
      <c r="H59" s="102">
        <f t="shared" si="22"/>
        <v>-11.38</v>
      </c>
      <c r="I59" s="213">
        <f t="shared" si="20"/>
        <v>0.43099999999999994</v>
      </c>
      <c r="J59" s="115">
        <f t="shared" si="24"/>
        <v>-106.88</v>
      </c>
      <c r="K59" s="155">
        <f t="shared" si="21"/>
        <v>0.07463203463203462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0.51</v>
      </c>
      <c r="S59" s="115">
        <f t="shared" si="5"/>
        <v>8.11</v>
      </c>
      <c r="T59" s="155">
        <f t="shared" si="27"/>
        <v>16.901960784313722</v>
      </c>
      <c r="U59" s="107">
        <f>F59-лютий!F59</f>
        <v>10</v>
      </c>
      <c r="V59" s="110">
        <f>G59-лютий!G59</f>
        <v>20.2</v>
      </c>
      <c r="W59" s="111">
        <f t="shared" si="23"/>
        <v>10.2</v>
      </c>
      <c r="X59" s="155">
        <f t="shared" si="28"/>
        <v>2.02</v>
      </c>
      <c r="Y59" s="197">
        <f t="shared" si="16"/>
        <v>15.891462096649681</v>
      </c>
    </row>
    <row r="60" spans="1:25" s="6" customFormat="1" ht="30.75">
      <c r="A60" s="8"/>
      <c r="B60" s="352" t="s">
        <v>89</v>
      </c>
      <c r="C60" s="40">
        <v>22010300</v>
      </c>
      <c r="D60" s="249">
        <v>1284</v>
      </c>
      <c r="E60" s="102">
        <v>1284</v>
      </c>
      <c r="F60" s="102">
        <v>284</v>
      </c>
      <c r="G60" s="106">
        <v>280.33</v>
      </c>
      <c r="H60" s="102">
        <f t="shared" si="22"/>
        <v>-3.670000000000016</v>
      </c>
      <c r="I60" s="213">
        <f t="shared" si="20"/>
        <v>0.9870774647887324</v>
      </c>
      <c r="J60" s="115">
        <f t="shared" si="24"/>
        <v>-1003.6700000000001</v>
      </c>
      <c r="K60" s="155">
        <f t="shared" si="21"/>
        <v>0.21832554517133956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300.95</v>
      </c>
      <c r="S60" s="115">
        <f t="shared" si="5"/>
        <v>-20.620000000000005</v>
      </c>
      <c r="T60" s="155">
        <f t="shared" si="27"/>
        <v>0.9314836351553414</v>
      </c>
      <c r="U60" s="107">
        <f>F60-лютий!F60</f>
        <v>100</v>
      </c>
      <c r="V60" s="110">
        <f>G60-лютий!G60</f>
        <v>103.13999999999999</v>
      </c>
      <c r="W60" s="111">
        <f t="shared" si="23"/>
        <v>3.1399999999999864</v>
      </c>
      <c r="X60" s="155">
        <f t="shared" si="28"/>
        <v>1.0313999999999999</v>
      </c>
      <c r="Y60" s="197">
        <f t="shared" si="16"/>
        <v>-0.1339527456800801</v>
      </c>
    </row>
    <row r="61" spans="1:25" s="6" customFormat="1" ht="18" hidden="1">
      <c r="A61" s="8"/>
      <c r="B61" s="352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F61-лютий!F61</f>
        <v>0</v>
      </c>
      <c r="V61" s="110">
        <f>G61-лютий!G61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353" t="s">
        <v>65</v>
      </c>
      <c r="C62" s="57">
        <v>22012500</v>
      </c>
      <c r="D62" s="248">
        <v>21260</v>
      </c>
      <c r="E62" s="102">
        <v>21260</v>
      </c>
      <c r="F62" s="102">
        <v>5690</v>
      </c>
      <c r="G62" s="106">
        <v>6201.94</v>
      </c>
      <c r="H62" s="102">
        <f t="shared" si="22"/>
        <v>511.9399999999996</v>
      </c>
      <c r="I62" s="213">
        <f t="shared" si="20"/>
        <v>1.0899718804920913</v>
      </c>
      <c r="J62" s="115">
        <f t="shared" si="24"/>
        <v>-15058.060000000001</v>
      </c>
      <c r="K62" s="155">
        <f t="shared" si="21"/>
        <v>0.2917187206020696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3584.94</v>
      </c>
      <c r="S62" s="115">
        <f t="shared" si="5"/>
        <v>2616.9999999999995</v>
      </c>
      <c r="T62" s="155">
        <f t="shared" si="27"/>
        <v>1.729998270542882</v>
      </c>
      <c r="U62" s="107">
        <f>F62-лютий!F62</f>
        <v>1800</v>
      </c>
      <c r="V62" s="110">
        <f>G62-лютий!G62</f>
        <v>2246.5199999999995</v>
      </c>
      <c r="W62" s="111">
        <f t="shared" si="23"/>
        <v>446.5199999999995</v>
      </c>
      <c r="X62" s="155">
        <f t="shared" si="28"/>
        <v>1.2480666666666664</v>
      </c>
      <c r="Y62" s="197">
        <f t="shared" si="16"/>
        <v>0.6728201504502322</v>
      </c>
    </row>
    <row r="63" spans="1:25" s="6" customFormat="1" ht="31.5">
      <c r="A63" s="8"/>
      <c r="B63" s="353" t="s">
        <v>86</v>
      </c>
      <c r="C63" s="57">
        <v>22012600</v>
      </c>
      <c r="D63" s="248">
        <v>767</v>
      </c>
      <c r="E63" s="102">
        <v>767</v>
      </c>
      <c r="F63" s="102">
        <v>185</v>
      </c>
      <c r="G63" s="106">
        <v>202.16</v>
      </c>
      <c r="H63" s="102">
        <f t="shared" si="22"/>
        <v>17.159999999999997</v>
      </c>
      <c r="I63" s="213">
        <f t="shared" si="20"/>
        <v>1.0927567567567567</v>
      </c>
      <c r="J63" s="115">
        <f t="shared" si="24"/>
        <v>-564.84</v>
      </c>
      <c r="K63" s="155">
        <f t="shared" si="21"/>
        <v>0.26357235984354627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135.2</v>
      </c>
      <c r="S63" s="115">
        <f t="shared" si="5"/>
        <v>66.96000000000001</v>
      </c>
      <c r="T63" s="155">
        <f t="shared" si="27"/>
        <v>1.4952662721893493</v>
      </c>
      <c r="U63" s="107">
        <f>F63-лютий!F63</f>
        <v>64</v>
      </c>
      <c r="V63" s="110">
        <f>G63-лютий!G63</f>
        <v>80.47</v>
      </c>
      <c r="W63" s="111">
        <f t="shared" si="23"/>
        <v>16.47</v>
      </c>
      <c r="X63" s="155">
        <f t="shared" si="28"/>
        <v>1.25734375</v>
      </c>
      <c r="Y63" s="197">
        <f t="shared" si="16"/>
        <v>0.41504543956020146</v>
      </c>
    </row>
    <row r="64" spans="1:25" s="6" customFormat="1" ht="31.5">
      <c r="A64" s="8"/>
      <c r="B64" s="353" t="s">
        <v>90</v>
      </c>
      <c r="C64" s="57">
        <v>22012900</v>
      </c>
      <c r="D64" s="248">
        <v>44</v>
      </c>
      <c r="E64" s="102">
        <v>44</v>
      </c>
      <c r="F64" s="102">
        <v>8</v>
      </c>
      <c r="G64" s="106">
        <v>7.76</v>
      </c>
      <c r="H64" s="102">
        <f t="shared" si="22"/>
        <v>-0.2400000000000002</v>
      </c>
      <c r="I64" s="213">
        <f t="shared" si="20"/>
        <v>0.97</v>
      </c>
      <c r="J64" s="115">
        <f t="shared" si="24"/>
        <v>-36.24</v>
      </c>
      <c r="K64" s="155">
        <f t="shared" si="21"/>
        <v>0.17636363636363636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4</v>
      </c>
      <c r="S64" s="115">
        <f t="shared" si="5"/>
        <v>3.76</v>
      </c>
      <c r="T64" s="155">
        <f t="shared" si="27"/>
        <v>1.94</v>
      </c>
      <c r="U64" s="107">
        <f>F64-лютий!F64</f>
        <v>4</v>
      </c>
      <c r="V64" s="110">
        <f>G64-лютий!G64</f>
        <v>1.0599999999999996</v>
      </c>
      <c r="W64" s="111">
        <f t="shared" si="23"/>
        <v>-2.9400000000000004</v>
      </c>
      <c r="X64" s="155">
        <f t="shared" si="28"/>
        <v>0.2649999999999999</v>
      </c>
      <c r="Y64" s="197">
        <f t="shared" si="16"/>
        <v>0.8782239382239381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1564.14</v>
      </c>
      <c r="G65" s="106">
        <v>1700.57</v>
      </c>
      <c r="H65" s="102">
        <f t="shared" si="22"/>
        <v>136.42999999999984</v>
      </c>
      <c r="I65" s="213">
        <f t="shared" si="20"/>
        <v>1.0872236500569001</v>
      </c>
      <c r="J65" s="115">
        <f t="shared" si="24"/>
        <v>-4299.43</v>
      </c>
      <c r="K65" s="155">
        <f t="shared" si="21"/>
        <v>0.28342833333333334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1623.09</v>
      </c>
      <c r="S65" s="115">
        <f t="shared" si="5"/>
        <v>77.48000000000002</v>
      </c>
      <c r="T65" s="155">
        <f t="shared" si="27"/>
        <v>1.0477361082872791</v>
      </c>
      <c r="U65" s="107">
        <f>F65-лютий!F65</f>
        <v>500</v>
      </c>
      <c r="V65" s="110">
        <f>G65-лютий!G65</f>
        <v>586.3399999999999</v>
      </c>
      <c r="W65" s="111">
        <f t="shared" si="23"/>
        <v>86.33999999999992</v>
      </c>
      <c r="X65" s="155">
        <f t="shared" si="28"/>
        <v>1.17268</v>
      </c>
      <c r="Y65" s="197">
        <f t="shared" si="16"/>
        <v>0.13114022319173935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195.14</v>
      </c>
      <c r="G66" s="106">
        <v>160.3</v>
      </c>
      <c r="H66" s="102">
        <f t="shared" si="22"/>
        <v>-34.839999999999975</v>
      </c>
      <c r="I66" s="213">
        <f t="shared" si="20"/>
        <v>0.8214615148098802</v>
      </c>
      <c r="J66" s="115">
        <f t="shared" si="24"/>
        <v>-705.7</v>
      </c>
      <c r="K66" s="155">
        <f t="shared" si="21"/>
        <v>0.18510392609699772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246</v>
      </c>
      <c r="S66" s="115">
        <f t="shared" si="5"/>
        <v>-85.69999999999999</v>
      </c>
      <c r="T66" s="155">
        <f t="shared" si="27"/>
        <v>0.6516260162601627</v>
      </c>
      <c r="U66" s="107">
        <f>F66-лютий!F66</f>
        <v>74.49999999999999</v>
      </c>
      <c r="V66" s="110">
        <f>G66-лютий!G66</f>
        <v>53.420000000000016</v>
      </c>
      <c r="W66" s="111">
        <f t="shared" si="23"/>
        <v>-21.07999999999997</v>
      </c>
      <c r="X66" s="155">
        <f t="shared" si="28"/>
        <v>0.7170469798657721</v>
      </c>
      <c r="Y66" s="197">
        <f t="shared" si="16"/>
        <v>-0.31465458448519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160.42</v>
      </c>
      <c r="G67" s="94">
        <v>124.46</v>
      </c>
      <c r="H67" s="71">
        <f t="shared" si="22"/>
        <v>-35.959999999999994</v>
      </c>
      <c r="I67" s="209">
        <f t="shared" si="20"/>
        <v>0.7758384241366414</v>
      </c>
      <c r="J67" s="72">
        <f t="shared" si="24"/>
        <v>-603.74</v>
      </c>
      <c r="K67" s="75">
        <f t="shared" si="21"/>
        <v>0.17091458390552045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220.94</v>
      </c>
      <c r="S67" s="203">
        <f t="shared" si="5"/>
        <v>-96.48</v>
      </c>
      <c r="T67" s="204">
        <f t="shared" si="27"/>
        <v>0.5633203584683625</v>
      </c>
      <c r="U67" s="73">
        <f>F67-лютий!F67</f>
        <v>62.999999999999986</v>
      </c>
      <c r="V67" s="98">
        <f>G67-лютий!G67</f>
        <v>40.56999999999999</v>
      </c>
      <c r="W67" s="74">
        <f t="shared" si="23"/>
        <v>-22.429999999999993</v>
      </c>
      <c r="X67" s="75">
        <f t="shared" si="28"/>
        <v>0.643968253968254</v>
      </c>
      <c r="Y67" s="197">
        <f t="shared" si="16"/>
        <v>-0.3940565182900715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0.1</v>
      </c>
      <c r="G68" s="94">
        <v>0.06</v>
      </c>
      <c r="H68" s="71">
        <f t="shared" si="22"/>
        <v>-0.04000000000000001</v>
      </c>
      <c r="I68" s="209">
        <f t="shared" si="20"/>
        <v>0.6</v>
      </c>
      <c r="J68" s="72">
        <f t="shared" si="24"/>
        <v>-0.94</v>
      </c>
      <c r="K68" s="75">
        <f t="shared" si="21"/>
        <v>0.06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</v>
      </c>
      <c r="S68" s="203">
        <f t="shared" si="5"/>
        <v>-0.04000000000000001</v>
      </c>
      <c r="T68" s="204">
        <f t="shared" si="27"/>
        <v>0.6</v>
      </c>
      <c r="U68" s="73">
        <f>F68-лютий!F68</f>
        <v>0.1</v>
      </c>
      <c r="V68" s="98">
        <f>G68-лютий!G68</f>
        <v>0.019999999999999997</v>
      </c>
      <c r="W68" s="74">
        <f t="shared" si="23"/>
        <v>-0.08000000000000002</v>
      </c>
      <c r="X68" s="75"/>
      <c r="Y68" s="197">
        <f t="shared" si="16"/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F69-лютий!F69</f>
        <v>0</v>
      </c>
      <c r="V69" s="98">
        <f>G69-лютий!G69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161</v>
      </c>
      <c r="C70" s="138">
        <v>22090400</v>
      </c>
      <c r="D70" s="233">
        <v>136.8</v>
      </c>
      <c r="E70" s="71">
        <v>136.8</v>
      </c>
      <c r="F70" s="71">
        <v>34.62</v>
      </c>
      <c r="G70" s="94">
        <v>35.79</v>
      </c>
      <c r="H70" s="71">
        <f t="shared" si="22"/>
        <v>1.1700000000000017</v>
      </c>
      <c r="I70" s="209">
        <f t="shared" si="20"/>
        <v>1.0337954939341423</v>
      </c>
      <c r="J70" s="72">
        <f t="shared" si="24"/>
        <v>-101.01000000000002</v>
      </c>
      <c r="K70" s="75">
        <f t="shared" si="21"/>
        <v>0.2616228070175438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24.96</v>
      </c>
      <c r="S70" s="203">
        <f t="shared" si="5"/>
        <v>10.829999999999998</v>
      </c>
      <c r="T70" s="204">
        <f t="shared" si="27"/>
        <v>1.4338942307692306</v>
      </c>
      <c r="U70" s="73">
        <f>F70-лютий!F70</f>
        <v>11.399999999999999</v>
      </c>
      <c r="V70" s="98">
        <f>G70-лютий!G70</f>
        <v>12.64</v>
      </c>
      <c r="W70" s="74">
        <f t="shared" si="23"/>
        <v>1.240000000000002</v>
      </c>
      <c r="X70" s="75">
        <f t="shared" si="28"/>
        <v>1.1087719298245615</v>
      </c>
      <c r="Y70" s="197">
        <f t="shared" si="16"/>
        <v>0.42370371238199067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F71-лютий!F71</f>
        <v>0</v>
      </c>
      <c r="V71" s="110">
        <f>G71-лютий!G71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1928.65</v>
      </c>
      <c r="G72" s="106">
        <v>1498.7</v>
      </c>
      <c r="H72" s="102">
        <f t="shared" si="22"/>
        <v>-429.95000000000005</v>
      </c>
      <c r="I72" s="213">
        <f t="shared" si="20"/>
        <v>0.7770720452129728</v>
      </c>
      <c r="J72" s="115">
        <f t="shared" si="24"/>
        <v>-6671.3</v>
      </c>
      <c r="K72" s="155">
        <f t="shared" si="21"/>
        <v>0.18343941248470014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3075.73</v>
      </c>
      <c r="S72" s="115">
        <f t="shared" si="5"/>
        <v>-1577.03</v>
      </c>
      <c r="T72" s="155">
        <f t="shared" si="27"/>
        <v>0.48726643756116433</v>
      </c>
      <c r="U72" s="107">
        <f>F72-лютий!F72</f>
        <v>680</v>
      </c>
      <c r="V72" s="110">
        <f>G72-лютий!G72</f>
        <v>426.54999999999995</v>
      </c>
      <c r="W72" s="111">
        <f t="shared" si="23"/>
        <v>-253.45000000000005</v>
      </c>
      <c r="X72" s="155">
        <f t="shared" si="28"/>
        <v>0.6272794117647058</v>
      </c>
      <c r="Y72" s="197">
        <f t="shared" si="16"/>
        <v>-0.5230069421680774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F73-лютий!F73</f>
        <v>0</v>
      </c>
      <c r="V73" s="110">
        <f>G73-лютий!G73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F74-лютий!F74</f>
        <v>0</v>
      </c>
      <c r="V74" s="110">
        <f>G74-лютий!G74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F75-лютий!F75</f>
        <v>0</v>
      </c>
      <c r="V75" s="110">
        <f>G75-лютий!G75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2"/>
        <v>0</v>
      </c>
      <c r="I76" s="213" t="e">
        <f>G76/F76</f>
        <v>#DIV/0!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7"/>
        <v>0</v>
      </c>
      <c r="U76" s="107">
        <f>F76-лютий!F76</f>
        <v>0</v>
      </c>
      <c r="V76" s="110">
        <f>G76-лютий!G76</f>
        <v>0</v>
      </c>
      <c r="W76" s="111">
        <f t="shared" si="23"/>
        <v>0</v>
      </c>
      <c r="X76" s="155" t="e">
        <f t="shared" si="28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9.57</v>
      </c>
      <c r="G77" s="106">
        <v>4.74</v>
      </c>
      <c r="H77" s="102">
        <f t="shared" si="22"/>
        <v>-4.83</v>
      </c>
      <c r="I77" s="213">
        <f>G77/F77</f>
        <v>0.49529780564263326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14.27</v>
      </c>
      <c r="S77" s="115">
        <f t="shared" si="5"/>
        <v>-9.53</v>
      </c>
      <c r="T77" s="155">
        <f t="shared" si="27"/>
        <v>0.33216538192011213</v>
      </c>
      <c r="U77" s="107">
        <f>F77-лютий!F77</f>
        <v>2.9000000000000004</v>
      </c>
      <c r="V77" s="110">
        <f>G77-лютий!G77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-0.6906283059816997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0.45</v>
      </c>
      <c r="H78" s="102">
        <f t="shared" si="22"/>
        <v>0.45</v>
      </c>
      <c r="I78" s="213" t="e">
        <f>G78/F78</f>
        <v>#DIV/0!</v>
      </c>
      <c r="J78" s="115">
        <f t="shared" si="24"/>
        <v>0.45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5.78</v>
      </c>
      <c r="T78" s="155">
        <f t="shared" si="27"/>
        <v>-0.08442776735459663</v>
      </c>
      <c r="U78" s="107">
        <f>F78-лютий!F78</f>
        <v>0</v>
      </c>
      <c r="V78" s="110" t="s">
        <v>188</v>
      </c>
      <c r="W78" s="111" t="e">
        <f t="shared" si="23"/>
        <v>#VALUE!</v>
      </c>
      <c r="X78" s="155"/>
      <c r="Y78" s="197">
        <f t="shared" si="16"/>
        <v>-0.08442776735459663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372195.55700000003</v>
      </c>
      <c r="G79" s="103">
        <f>G8+G53+G77+G78</f>
        <v>378620.77999999997</v>
      </c>
      <c r="H79" s="103">
        <f>G79-F79</f>
        <v>6425.22299999994</v>
      </c>
      <c r="I79" s="210">
        <f>G79/F79</f>
        <v>1.0172630298217127</v>
      </c>
      <c r="J79" s="104">
        <f>G79-E79</f>
        <v>-1249296.92</v>
      </c>
      <c r="K79" s="156">
        <f>G79/E79</f>
        <v>0.23257980424931798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307428.96</v>
      </c>
      <c r="S79" s="104">
        <f>G79-R79</f>
        <v>71191.81999999995</v>
      </c>
      <c r="T79" s="156">
        <f>G79/R79</f>
        <v>1.2315716125117164</v>
      </c>
      <c r="U79" s="103">
        <f>U8+U53+U77+U78</f>
        <v>123391.9</v>
      </c>
      <c r="V79" s="103" t="e">
        <f>V8+V53+V77+V78</f>
        <v>#VALUE!</v>
      </c>
      <c r="W79" s="135" t="e">
        <f>V79-U79</f>
        <v>#VALUE!</v>
      </c>
      <c r="X79" s="156" t="e">
        <f>V79/U79</f>
        <v>#VALUE!</v>
      </c>
      <c r="Y79" s="197">
        <f t="shared" si="16"/>
        <v>0.0679391469942554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F84-лютий!F84</f>
        <v>0</v>
      </c>
      <c r="V84" s="110">
        <f>G84-лютий!G84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F85-лютий!F85</f>
        <v>0</v>
      </c>
      <c r="V85" s="110">
        <f>G85-лютий!G85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F86-лютий!F86</f>
        <v>0</v>
      </c>
      <c r="V86" s="174">
        <f>G86-лютий!G86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1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-35.57</v>
      </c>
      <c r="T87" s="147"/>
      <c r="U87" s="129">
        <f>F87-лютий!F87</f>
        <v>0</v>
      </c>
      <c r="V87" s="174">
        <f>G87-лютий!G87</f>
        <v>0</v>
      </c>
      <c r="W87" s="131">
        <f aca="true" t="shared" si="34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f>5000+3318.039</f>
        <v>8318.039</v>
      </c>
      <c r="F88" s="125">
        <v>806.429</v>
      </c>
      <c r="G88" s="126">
        <v>806.46</v>
      </c>
      <c r="H88" s="112">
        <f t="shared" si="31"/>
        <v>0.031000000000062755</v>
      </c>
      <c r="I88" s="213">
        <f>G88/F88</f>
        <v>1.000038441077888</v>
      </c>
      <c r="J88" s="117">
        <f>G88-E88</f>
        <v>-7511.579000000001</v>
      </c>
      <c r="K88" s="147">
        <f>G88/E88</f>
        <v>0.09695314003697265</v>
      </c>
      <c r="L88" s="117"/>
      <c r="M88" s="117"/>
      <c r="N88" s="117"/>
      <c r="O88" s="117">
        <v>938.14</v>
      </c>
      <c r="P88" s="117">
        <f t="shared" si="32"/>
        <v>7379.899</v>
      </c>
      <c r="Q88" s="147">
        <f t="shared" si="33"/>
        <v>8.866522054277613</v>
      </c>
      <c r="R88" s="117">
        <v>0.11</v>
      </c>
      <c r="S88" s="117">
        <f t="shared" si="29"/>
        <v>806.35</v>
      </c>
      <c r="T88" s="147">
        <f t="shared" si="30"/>
        <v>7331.454545454546</v>
      </c>
      <c r="U88" s="112">
        <f>F88-лютий!F88</f>
        <v>0</v>
      </c>
      <c r="V88" s="118">
        <f>G88-лютий!G88</f>
        <v>0.01999999999998181</v>
      </c>
      <c r="W88" s="117">
        <f t="shared" si="34"/>
        <v>0.01999999999998181</v>
      </c>
      <c r="X88" s="147" t="e">
        <f>V88/U88</f>
        <v>#DIV/0!</v>
      </c>
      <c r="Y88" s="197">
        <f t="shared" si="16"/>
        <v>7322.588023400268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2015</v>
      </c>
      <c r="G89" s="126">
        <v>1201.71</v>
      </c>
      <c r="H89" s="112">
        <f t="shared" si="31"/>
        <v>-813.29</v>
      </c>
      <c r="I89" s="213">
        <f>G89/F89</f>
        <v>0.5963821339950373</v>
      </c>
      <c r="J89" s="117">
        <f aca="true" t="shared" si="35" ref="J89:J98">G89-E89</f>
        <v>-15247.29</v>
      </c>
      <c r="K89" s="147">
        <f>G89/E89</f>
        <v>0.07305672077329929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167.2</v>
      </c>
      <c r="S89" s="117">
        <f t="shared" si="29"/>
        <v>1034.51</v>
      </c>
      <c r="T89" s="147">
        <f t="shared" si="30"/>
        <v>7.18726076555024</v>
      </c>
      <c r="U89" s="112">
        <f>F89-лютий!F89</f>
        <v>1000</v>
      </c>
      <c r="V89" s="118">
        <f>G89-лютий!G89</f>
        <v>1007.26</v>
      </c>
      <c r="W89" s="117">
        <f t="shared" si="34"/>
        <v>7.259999999999991</v>
      </c>
      <c r="X89" s="147">
        <f>V89/U89</f>
        <v>1.00726</v>
      </c>
      <c r="Y89" s="197">
        <f t="shared" si="16"/>
        <v>5.167404804157007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f>22000+15</f>
        <v>22015</v>
      </c>
      <c r="F90" s="125">
        <v>6000</v>
      </c>
      <c r="G90" s="126">
        <v>1457.79</v>
      </c>
      <c r="H90" s="112">
        <f t="shared" si="31"/>
        <v>-4542.21</v>
      </c>
      <c r="I90" s="213">
        <f>G90/F90</f>
        <v>0.242965</v>
      </c>
      <c r="J90" s="117">
        <f t="shared" si="35"/>
        <v>-20557.21</v>
      </c>
      <c r="K90" s="147">
        <f>G90/E90</f>
        <v>0.06621803315920963</v>
      </c>
      <c r="L90" s="117"/>
      <c r="M90" s="117"/>
      <c r="N90" s="117"/>
      <c r="O90" s="117">
        <v>17305.88</v>
      </c>
      <c r="P90" s="117">
        <f t="shared" si="32"/>
        <v>4709.119999999999</v>
      </c>
      <c r="Q90" s="147">
        <f t="shared" si="33"/>
        <v>1.2721109819321526</v>
      </c>
      <c r="R90" s="117">
        <v>1214.24</v>
      </c>
      <c r="S90" s="117">
        <f t="shared" si="29"/>
        <v>243.54999999999995</v>
      </c>
      <c r="T90" s="147">
        <f t="shared" si="30"/>
        <v>1.2005781394123072</v>
      </c>
      <c r="U90" s="112">
        <f>F90-лютий!F90</f>
        <v>3000</v>
      </c>
      <c r="V90" s="118">
        <f>G90-лютий!G90</f>
        <v>1126.6399999999999</v>
      </c>
      <c r="W90" s="117">
        <f t="shared" si="34"/>
        <v>-1873.3600000000001</v>
      </c>
      <c r="X90" s="147">
        <f>V90/U90</f>
        <v>0.37554666666666664</v>
      </c>
      <c r="Y90" s="197">
        <f t="shared" si="16"/>
        <v>-0.07153284251984537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6</v>
      </c>
      <c r="G91" s="126">
        <v>3</v>
      </c>
      <c r="H91" s="112">
        <f t="shared" si="31"/>
        <v>-3</v>
      </c>
      <c r="I91" s="213">
        <f>G91/F91</f>
        <v>0.5</v>
      </c>
      <c r="J91" s="117">
        <f t="shared" si="35"/>
        <v>-21</v>
      </c>
      <c r="K91" s="147">
        <f>G91/E91</f>
        <v>0.125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3</v>
      </c>
      <c r="S91" s="117">
        <f t="shared" si="29"/>
        <v>0</v>
      </c>
      <c r="T91" s="147">
        <f t="shared" si="30"/>
        <v>1</v>
      </c>
      <c r="U91" s="112">
        <f>F91-лютий!F91</f>
        <v>2</v>
      </c>
      <c r="V91" s="118">
        <f>G91-лютий!G91</f>
        <v>1</v>
      </c>
      <c r="W91" s="117">
        <f t="shared" si="34"/>
        <v>-1</v>
      </c>
      <c r="X91" s="147">
        <f>V91/U91</f>
        <v>0.5</v>
      </c>
      <c r="Y91" s="197">
        <f t="shared" si="16"/>
        <v>-0.19999999999999996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8827.429</v>
      </c>
      <c r="G92" s="128">
        <f>G88+G89+G90+G91</f>
        <v>3468.96</v>
      </c>
      <c r="H92" s="129">
        <f t="shared" si="31"/>
        <v>-5358.469</v>
      </c>
      <c r="I92" s="216">
        <f>G92/F92</f>
        <v>0.3929751233343253</v>
      </c>
      <c r="J92" s="131">
        <f t="shared" si="35"/>
        <v>-43337.079000000005</v>
      </c>
      <c r="K92" s="151">
        <f>G92/E92</f>
        <v>0.07411351342932479</v>
      </c>
      <c r="L92" s="131"/>
      <c r="M92" s="131"/>
      <c r="N92" s="131"/>
      <c r="O92" s="131">
        <v>26407.66</v>
      </c>
      <c r="P92" s="131">
        <f t="shared" si="32"/>
        <v>20398.379000000004</v>
      </c>
      <c r="Q92" s="151">
        <f t="shared" si="33"/>
        <v>1.772441746069133</v>
      </c>
      <c r="R92" s="131">
        <v>1384.55474</v>
      </c>
      <c r="S92" s="117">
        <f t="shared" si="29"/>
        <v>2084.40526</v>
      </c>
      <c r="T92" s="147">
        <f t="shared" si="30"/>
        <v>2.5054697367906162</v>
      </c>
      <c r="U92" s="129">
        <f>F92-лютий!F92</f>
        <v>4002</v>
      </c>
      <c r="V92" s="174">
        <f>G92-лютий!G92</f>
        <v>2134.92</v>
      </c>
      <c r="W92" s="131">
        <f t="shared" si="34"/>
        <v>-1867.08</v>
      </c>
      <c r="X92" s="151">
        <f>V92/U92</f>
        <v>0.5334632683658171</v>
      </c>
      <c r="Y92" s="197">
        <f t="shared" si="16"/>
        <v>0.7330279907214832</v>
      </c>
      <c r="AB92" s="4" t="s">
        <v>160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7</v>
      </c>
      <c r="G93" s="126">
        <v>1.24</v>
      </c>
      <c r="H93" s="112">
        <f t="shared" si="31"/>
        <v>-5.76</v>
      </c>
      <c r="I93" s="213"/>
      <c r="J93" s="117">
        <f t="shared" si="35"/>
        <v>-41.76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8.78</v>
      </c>
      <c r="S93" s="117">
        <f t="shared" si="29"/>
        <v>-7.539999999999999</v>
      </c>
      <c r="T93" s="147">
        <f t="shared" si="30"/>
        <v>0.14123006833712984</v>
      </c>
      <c r="U93" s="112">
        <f>F93-лютий!F93</f>
        <v>4</v>
      </c>
      <c r="V93" s="118">
        <f>G93-лютий!G93</f>
        <v>1.22</v>
      </c>
      <c r="W93" s="117">
        <f t="shared" si="34"/>
        <v>-2.7800000000000002</v>
      </c>
      <c r="X93" s="147"/>
      <c r="Y93" s="197">
        <f t="shared" si="16"/>
        <v>-0.7332869135624024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F94-лютий!F94</f>
        <v>0</v>
      </c>
      <c r="V94" s="118">
        <f>G94-лютий!G94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2819.75</v>
      </c>
      <c r="G95" s="126">
        <v>2501.35</v>
      </c>
      <c r="H95" s="112">
        <f t="shared" si="31"/>
        <v>-318.4000000000001</v>
      </c>
      <c r="I95" s="213">
        <f>G95/F95</f>
        <v>0.8870821881372462</v>
      </c>
      <c r="J95" s="117">
        <f t="shared" si="35"/>
        <v>-6548.65</v>
      </c>
      <c r="K95" s="147">
        <f>G95/E95</f>
        <v>0.2763922651933702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2217.95</v>
      </c>
      <c r="S95" s="117">
        <f t="shared" si="29"/>
        <v>283.4000000000001</v>
      </c>
      <c r="T95" s="147">
        <f t="shared" si="30"/>
        <v>1.1277756486845962</v>
      </c>
      <c r="U95" s="112">
        <f>F95-лютий!F95</f>
        <v>1</v>
      </c>
      <c r="V95" s="118">
        <f>G95-лютий!G95</f>
        <v>123.11000000000013</v>
      </c>
      <c r="W95" s="117">
        <f t="shared" si="34"/>
        <v>122.11000000000013</v>
      </c>
      <c r="X95" s="147">
        <f>V95/U95</f>
        <v>123.11000000000013</v>
      </c>
      <c r="Y95" s="197">
        <f t="shared" si="16"/>
        <v>0.0013047016772747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G96-лютий!G96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2826.75</v>
      </c>
      <c r="G97" s="128">
        <f>G93+G96+G94+G95</f>
        <v>2502.5899999999997</v>
      </c>
      <c r="H97" s="129">
        <f t="shared" si="31"/>
        <v>-324.1600000000003</v>
      </c>
      <c r="I97" s="216">
        <f>G97/F97</f>
        <v>0.8853241354912885</v>
      </c>
      <c r="J97" s="131">
        <f t="shared" si="35"/>
        <v>-6590.41</v>
      </c>
      <c r="K97" s="151">
        <f>G97/E97</f>
        <v>0.27522159903222254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2226.76</v>
      </c>
      <c r="S97" s="117">
        <f t="shared" si="29"/>
        <v>275.8299999999995</v>
      </c>
      <c r="T97" s="147">
        <f t="shared" si="30"/>
        <v>1.1238705563239861</v>
      </c>
      <c r="U97" s="129">
        <f>F97-лютий!F97</f>
        <v>5</v>
      </c>
      <c r="V97" s="174">
        <f>G97-лютий!G97</f>
        <v>124.32999999999993</v>
      </c>
      <c r="W97" s="131">
        <f t="shared" si="34"/>
        <v>119.32999999999993</v>
      </c>
      <c r="X97" s="151">
        <f>V97/U97</f>
        <v>24.865999999999985</v>
      </c>
      <c r="Y97" s="197">
        <f t="shared" si="16"/>
        <v>-0.001053823965527556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47.413</v>
      </c>
      <c r="F98" s="125">
        <v>8.12522</v>
      </c>
      <c r="G98" s="126">
        <v>12.91</v>
      </c>
      <c r="H98" s="112">
        <f t="shared" si="31"/>
        <v>4.78478</v>
      </c>
      <c r="I98" s="213">
        <f>G98/F98</f>
        <v>1.5888800549400508</v>
      </c>
      <c r="J98" s="117">
        <f t="shared" si="35"/>
        <v>-34.503</v>
      </c>
      <c r="K98" s="147">
        <f>G98/E98</f>
        <v>0.2722881910024677</v>
      </c>
      <c r="L98" s="117"/>
      <c r="M98" s="117"/>
      <c r="N98" s="117"/>
      <c r="O98" s="117">
        <v>37.96</v>
      </c>
      <c r="P98" s="117">
        <f t="shared" si="32"/>
        <v>9.452999999999996</v>
      </c>
      <c r="Q98" s="147">
        <f t="shared" si="33"/>
        <v>1.2490252897787144</v>
      </c>
      <c r="R98" s="131">
        <v>7.12</v>
      </c>
      <c r="S98" s="117">
        <f t="shared" si="29"/>
        <v>5.79</v>
      </c>
      <c r="T98" s="147">
        <f t="shared" si="30"/>
        <v>1.8132022471910112</v>
      </c>
      <c r="U98" s="112">
        <f>F98-лютий!F98</f>
        <v>4.665220000000001</v>
      </c>
      <c r="V98" s="118">
        <f>G98-лютий!G98</f>
        <v>9.13</v>
      </c>
      <c r="W98" s="117">
        <f t="shared" si="34"/>
        <v>4.46478</v>
      </c>
      <c r="X98" s="147">
        <f>V98/U98</f>
        <v>1.957035252356802</v>
      </c>
      <c r="Y98" s="197">
        <f t="shared" si="16"/>
        <v>0.5641769574122968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11662.30422</v>
      </c>
      <c r="G100" s="183">
        <f>G86+G87+G92+G97+G98</f>
        <v>5984.469999999999</v>
      </c>
      <c r="H100" s="184">
        <f>G100-F100</f>
        <v>-5677.834220000001</v>
      </c>
      <c r="I100" s="217">
        <f>G100/F100</f>
        <v>0.5131464492014426</v>
      </c>
      <c r="J100" s="177">
        <f>G100-E100</f>
        <v>-49961.982</v>
      </c>
      <c r="K100" s="178">
        <f>G100/E100</f>
        <v>0.10696781987175878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3654.01</v>
      </c>
      <c r="S100" s="177">
        <f>G100-R100</f>
        <v>2330.459999999999</v>
      </c>
      <c r="T100" s="178">
        <f t="shared" si="30"/>
        <v>1.6377815057977398</v>
      </c>
      <c r="U100" s="183">
        <f>U86+U87+U92+U97+U98</f>
        <v>4011.66522</v>
      </c>
      <c r="V100" s="183">
        <f>V86+V87+V92+V97+V98</f>
        <v>2268.38</v>
      </c>
      <c r="W100" s="177">
        <f>V100-U100</f>
        <v>-1743.2852199999998</v>
      </c>
      <c r="X100" s="178">
        <f>V100/U100</f>
        <v>0.5654459870407631</v>
      </c>
      <c r="Y100" s="197">
        <f>T100-Q100</f>
        <v>0.019043460842287363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1683864.152</v>
      </c>
      <c r="F101" s="183">
        <f>F79+F100</f>
        <v>383857.86122</v>
      </c>
      <c r="G101" s="183">
        <f>G79+G100</f>
        <v>384605.24999999994</v>
      </c>
      <c r="H101" s="184">
        <f>G101-F101</f>
        <v>747.3887799999211</v>
      </c>
      <c r="I101" s="217">
        <f>G101/F101</f>
        <v>1.0019470456528479</v>
      </c>
      <c r="J101" s="177">
        <f>G101-E101</f>
        <v>-1299258.902</v>
      </c>
      <c r="K101" s="178">
        <f>G101/E101</f>
        <v>0.22840634117852515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311082.97000000003</v>
      </c>
      <c r="S101" s="177">
        <f>S79+S100</f>
        <v>73522.27999999994</v>
      </c>
      <c r="T101" s="178">
        <f t="shared" si="30"/>
        <v>1.2363429923534546</v>
      </c>
      <c r="U101" s="184">
        <f>U79+U100</f>
        <v>127403.56521999999</v>
      </c>
      <c r="V101" s="184" t="e">
        <f>V79+V100</f>
        <v>#VALUE!</v>
      </c>
      <c r="W101" s="177" t="e">
        <f>V101-U101</f>
        <v>#VALUE!</v>
      </c>
      <c r="X101" s="178" t="e">
        <f>V101/U101</f>
        <v>#VALUE!</v>
      </c>
      <c r="Y101" s="197">
        <f>T101-Q101</f>
        <v>0.06173835002929873</v>
      </c>
    </row>
    <row r="102" spans="2:24" ht="15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143</v>
      </c>
      <c r="C103" s="259">
        <v>0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>
      <c r="B104" s="261" t="s">
        <v>145</v>
      </c>
      <c r="C104" s="262"/>
      <c r="D104" s="4" t="s">
        <v>24</v>
      </c>
      <c r="F104" s="78"/>
      <c r="G104" s="262">
        <f>IF(H79&lt;0,ABS(H79/C103),0)</f>
        <v>0</v>
      </c>
      <c r="H104" s="263"/>
      <c r="I104" s="263"/>
      <c r="J104" s="263"/>
      <c r="V104" s="262" t="e">
        <f>IF(W79&lt;0,ABS(W79/C103),0)</f>
        <v>#VALUE!</v>
      </c>
    </row>
    <row r="105" spans="2:7" ht="30.75">
      <c r="B105" s="264" t="s">
        <v>146</v>
      </c>
      <c r="C105" s="265">
        <v>43189</v>
      </c>
      <c r="D105" s="262"/>
      <c r="E105" s="262">
        <v>10196.34</v>
      </c>
      <c r="F105" s="78"/>
      <c r="G105" s="4" t="s">
        <v>147</v>
      </c>
    </row>
    <row r="106" spans="3:10" ht="15">
      <c r="C106" s="265">
        <v>43188</v>
      </c>
      <c r="D106" s="262"/>
      <c r="E106" s="262">
        <v>14970</v>
      </c>
      <c r="F106" s="78"/>
      <c r="G106" s="387"/>
      <c r="H106" s="387"/>
      <c r="I106" s="267"/>
      <c r="J106" s="268"/>
    </row>
    <row r="107" spans="3:10" ht="15">
      <c r="C107" s="265">
        <v>43187</v>
      </c>
      <c r="D107" s="262"/>
      <c r="E107" s="262">
        <v>5510.6</v>
      </c>
      <c r="F107" s="78"/>
      <c r="G107" s="387"/>
      <c r="H107" s="387"/>
      <c r="I107" s="267"/>
      <c r="J107" s="269"/>
    </row>
    <row r="108" spans="3:10" ht="15">
      <c r="C108" s="265"/>
      <c r="D108" s="4"/>
      <c r="F108" s="270"/>
      <c r="G108" s="388"/>
      <c r="H108" s="388"/>
      <c r="I108" s="271"/>
      <c r="J108" s="268"/>
    </row>
    <row r="109" spans="2:10" ht="16.5">
      <c r="B109" s="389" t="s">
        <v>148</v>
      </c>
      <c r="C109" s="390"/>
      <c r="D109" s="272"/>
      <c r="E109" s="324">
        <f>'[1]залишки'!$G$6/1000</f>
        <v>1.88291</v>
      </c>
      <c r="F109" s="274" t="s">
        <v>149</v>
      </c>
      <c r="G109" s="387"/>
      <c r="H109" s="387"/>
      <c r="I109" s="275"/>
      <c r="J109" s="268"/>
    </row>
    <row r="110" spans="4:10" ht="15">
      <c r="D110" s="4"/>
      <c r="F110" s="270"/>
      <c r="G110" s="387"/>
      <c r="H110" s="387"/>
      <c r="I110" s="270"/>
      <c r="J110" s="273"/>
    </row>
    <row r="111" spans="2:10" ht="15" customHeight="1" hidden="1">
      <c r="B111" s="386"/>
      <c r="C111" s="386"/>
      <c r="D111" s="277"/>
      <c r="E111" s="278"/>
      <c r="F111" s="270"/>
      <c r="G111" s="387"/>
      <c r="H111" s="387"/>
      <c r="I111" s="270"/>
      <c r="J111" s="273"/>
    </row>
    <row r="112" spans="2:24" ht="15" hidden="1">
      <c r="B112" s="279" t="s">
        <v>150</v>
      </c>
      <c r="D112" s="270">
        <f>D60+D63+D64</f>
        <v>2095</v>
      </c>
      <c r="E112" s="270">
        <f aca="true" t="shared" si="36" ref="E112:W112">E60+E63+E64</f>
        <v>2095</v>
      </c>
      <c r="F112" s="270">
        <f t="shared" si="36"/>
        <v>477</v>
      </c>
      <c r="G112" s="325">
        <f t="shared" si="36"/>
        <v>490.25</v>
      </c>
      <c r="H112" s="270">
        <f t="shared" si="36"/>
        <v>13.24999999999998</v>
      </c>
      <c r="I112" s="326">
        <f>G112/F112</f>
        <v>1.0277777777777777</v>
      </c>
      <c r="J112" s="270">
        <f t="shared" si="36"/>
        <v>-1604.7500000000002</v>
      </c>
      <c r="K112" s="326">
        <f>G112/E112</f>
        <v>0.23400954653937947</v>
      </c>
      <c r="L112" s="270">
        <f t="shared" si="36"/>
        <v>0</v>
      </c>
      <c r="M112" s="270">
        <f t="shared" si="36"/>
        <v>0</v>
      </c>
      <c r="N112" s="270">
        <f t="shared" si="36"/>
        <v>0</v>
      </c>
      <c r="O112" s="270">
        <f t="shared" si="36"/>
        <v>1956.6200000000001</v>
      </c>
      <c r="P112" s="270">
        <f t="shared" si="36"/>
        <v>138.37999999999994</v>
      </c>
      <c r="Q112" s="326">
        <f>E112/O112</f>
        <v>1.0707240036389283</v>
      </c>
      <c r="R112" s="270">
        <f t="shared" si="36"/>
        <v>440.15</v>
      </c>
      <c r="S112" s="270">
        <f t="shared" si="36"/>
        <v>50.1</v>
      </c>
      <c r="T112" s="326">
        <f>G112/R112</f>
        <v>1.1138248324434852</v>
      </c>
      <c r="U112" s="270">
        <f t="shared" si="36"/>
        <v>168</v>
      </c>
      <c r="V112" s="280">
        <f t="shared" si="36"/>
        <v>184.67</v>
      </c>
      <c r="W112" s="270">
        <f t="shared" si="36"/>
        <v>16.669999999999984</v>
      </c>
      <c r="X112" s="326">
        <f>V112/U112</f>
        <v>1.0992261904761904</v>
      </c>
    </row>
    <row r="113" spans="4:9" ht="15" hidden="1">
      <c r="D113" s="260"/>
      <c r="F113" s="78"/>
      <c r="G113" s="4"/>
      <c r="I113" s="262"/>
    </row>
    <row r="114" spans="2:10" ht="15" hidden="1">
      <c r="B114" s="4" t="s">
        <v>162</v>
      </c>
      <c r="D114" s="262">
        <f>D9+D15+D18+D19+D23+D54+D57+D59+D71+D77+D93+D95</f>
        <v>1592543.3</v>
      </c>
      <c r="E114" s="262">
        <f>E9+E15+E18+E19+E23+E54+E57+E59+E71+E77+E93+E95</f>
        <v>1592543.3</v>
      </c>
      <c r="F114" s="262">
        <f>F9+F15+F18+F19+F23+F54+F57+F59+F71+F77+F93+F95</f>
        <v>364410.869</v>
      </c>
      <c r="G114" s="281">
        <f>G9+G15+G18+G19+G23+G54+G57+G59+G71+G77+G93+G95</f>
        <v>369694.9799999999</v>
      </c>
      <c r="H114" s="262">
        <f>H9+H15+H18+H19+H23+H54+H57+H59+H71+H77+H93+H95</f>
        <v>5284.1109999999935</v>
      </c>
      <c r="I114" s="163">
        <f>G114/F114</f>
        <v>1.0145004209520434</v>
      </c>
      <c r="J114" s="262"/>
    </row>
    <row r="115" spans="2:10" ht="15" hidden="1">
      <c r="B115" s="4" t="s">
        <v>163</v>
      </c>
      <c r="D115" s="262">
        <f>D55+D58+D60+D63+D64+D65+D72+D76+D88+D89+D90+D91+D98</f>
        <v>65675.813</v>
      </c>
      <c r="E115" s="262">
        <f>E55+E58+E60+E63+E64+E65+E72+E76+E88+E89+E90+E91+E98</f>
        <v>69036.852</v>
      </c>
      <c r="F115" s="262">
        <f>F55+F58+F60+F63+F64+F65+F72+F76+F88+F89+F90+F91+F98</f>
        <v>13533.85222</v>
      </c>
      <c r="G115" s="281">
        <f>G55+G58+G60+G63+G64+G65+G72+G76+G88+G89+G90+G91+G98</f>
        <v>8495.75</v>
      </c>
      <c r="H115" s="262">
        <f>H55+H58+H60+H63+H64+H65+H72+H76+H88+H89+H90+H91+H98</f>
        <v>-5038.102220000001</v>
      </c>
      <c r="I115" s="163">
        <f>G115/F115</f>
        <v>0.627740709880457</v>
      </c>
      <c r="J115" s="262"/>
    </row>
    <row r="116" spans="2:10" ht="15" hidden="1">
      <c r="B116" s="4" t="s">
        <v>164</v>
      </c>
      <c r="D116" s="262">
        <f>D56+D62+D66+D78</f>
        <v>22284</v>
      </c>
      <c r="E116" s="262">
        <f>E56+E62+E66+E78</f>
        <v>22284</v>
      </c>
      <c r="F116" s="262">
        <f>F56+F62+F66+F78</f>
        <v>5913.14</v>
      </c>
      <c r="G116" s="281">
        <f>G56+G62+G66+G78</f>
        <v>6414.509999999999</v>
      </c>
      <c r="H116" s="262">
        <f>H56+H62+H66+H78</f>
        <v>501.36999999999966</v>
      </c>
      <c r="I116" s="163">
        <f>G116/F116</f>
        <v>1.0847891306480142</v>
      </c>
      <c r="J116" s="262"/>
    </row>
    <row r="117" spans="2:10" ht="15" hidden="1">
      <c r="B117" s="320" t="s">
        <v>165</v>
      </c>
      <c r="C117" s="328"/>
      <c r="D117" s="329">
        <f>D114+D115+D116</f>
        <v>1680503.1130000001</v>
      </c>
      <c r="E117" s="329">
        <f>E114+E115+E116</f>
        <v>1683864.152</v>
      </c>
      <c r="F117" s="329">
        <f>F114+F115+F116</f>
        <v>383857.86122</v>
      </c>
      <c r="G117" s="330">
        <f>G114+G115+G116</f>
        <v>384605.23999999993</v>
      </c>
      <c r="H117" s="329">
        <f>H114+H115+H116</f>
        <v>747.3787799999925</v>
      </c>
      <c r="I117" s="331">
        <f>G117/F117</f>
        <v>1.0019470196015383</v>
      </c>
      <c r="J117" s="262"/>
    </row>
    <row r="118" spans="4:10" ht="15" hidden="1">
      <c r="D118" s="262">
        <f>D117-D101</f>
        <v>0</v>
      </c>
      <c r="E118" s="262">
        <f>E117-E101</f>
        <v>0</v>
      </c>
      <c r="F118" s="262">
        <f>F117-F101</f>
        <v>0</v>
      </c>
      <c r="G118" s="281">
        <f>G117-G101</f>
        <v>-0.010000000009313226</v>
      </c>
      <c r="H118" s="262">
        <f>H117-H101</f>
        <v>-0.009999999928595571</v>
      </c>
      <c r="I118" s="163"/>
      <c r="J118" s="262"/>
    </row>
    <row r="119" spans="4:7" ht="15" hidden="1">
      <c r="D119" s="4"/>
      <c r="E119" s="4" t="s">
        <v>147</v>
      </c>
      <c r="F119" s="78"/>
      <c r="G119" s="4"/>
    </row>
    <row r="120" spans="2:7" ht="15" hidden="1">
      <c r="B120" s="266"/>
      <c r="D120" s="4"/>
      <c r="E120" s="262"/>
      <c r="F120" s="78"/>
      <c r="G120" s="4"/>
    </row>
    <row r="121" spans="2:8" ht="15" hidden="1">
      <c r="B121" s="266"/>
      <c r="D121" s="4"/>
      <c r="E121" s="262"/>
      <c r="F121" s="78"/>
      <c r="G121" s="4"/>
      <c r="H121" s="262"/>
    </row>
    <row r="122" spans="4:11" ht="15" hidden="1">
      <c r="D122" s="3"/>
      <c r="F122" s="78"/>
      <c r="G122" s="4"/>
      <c r="H122" s="262"/>
      <c r="I122" s="3"/>
      <c r="K122" s="3"/>
    </row>
    <row r="123" spans="2:12" ht="18" hidden="1">
      <c r="B123" s="83" t="s">
        <v>151</v>
      </c>
      <c r="C123" s="34">
        <v>25000000</v>
      </c>
      <c r="D123" s="125">
        <v>90449.655</v>
      </c>
      <c r="E123" s="348">
        <v>18102.06</v>
      </c>
      <c r="F123" s="348">
        <v>20254.32</v>
      </c>
      <c r="G123" s="349">
        <v>2152.2599999999984</v>
      </c>
      <c r="H123" s="114">
        <f>G123-F123</f>
        <v>-18102.06</v>
      </c>
      <c r="I123" s="147">
        <f aca="true" t="shared" si="37" ref="I123:I130">G123/F123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83"/>
      <c r="D124" s="284">
        <f>D123+D100</f>
        <v>143035.068</v>
      </c>
      <c r="E124" s="284">
        <f aca="true" t="shared" si="38" ref="E124:J124">E123+E100</f>
        <v>74048.512</v>
      </c>
      <c r="F124" s="284">
        <f t="shared" si="38"/>
        <v>31916.624219999998</v>
      </c>
      <c r="G124" s="284">
        <f t="shared" si="38"/>
        <v>8136.729999999998</v>
      </c>
      <c r="H124" s="284">
        <f t="shared" si="38"/>
        <v>-23779.894220000002</v>
      </c>
      <c r="I124" s="337">
        <f t="shared" si="37"/>
        <v>0.25493704922907406</v>
      </c>
      <c r="J124" s="284">
        <f t="shared" si="38"/>
        <v>-65911.782</v>
      </c>
      <c r="K124" s="337">
        <f>G124/F124</f>
        <v>0.25493704922907406</v>
      </c>
      <c r="L124" s="3"/>
    </row>
    <row r="125" spans="2:12" ht="17.25" hidden="1">
      <c r="B125" s="285" t="s">
        <v>152</v>
      </c>
      <c r="C125" s="283"/>
      <c r="D125" s="284">
        <f>D101+D123</f>
        <v>1770952.768</v>
      </c>
      <c r="E125" s="284">
        <f aca="true" t="shared" si="39" ref="E125:J125">E101+E123</f>
        <v>1701966.212</v>
      </c>
      <c r="F125" s="284">
        <f t="shared" si="39"/>
        <v>404112.18122</v>
      </c>
      <c r="G125" s="284">
        <f t="shared" si="39"/>
        <v>386757.50999999995</v>
      </c>
      <c r="H125" s="284">
        <f t="shared" si="39"/>
        <v>-17354.67122000008</v>
      </c>
      <c r="I125" s="337">
        <f t="shared" si="37"/>
        <v>0.9570548178785233</v>
      </c>
      <c r="J125" s="284">
        <f t="shared" si="39"/>
        <v>-1315208.702</v>
      </c>
      <c r="K125" s="337">
        <f>G125/F125</f>
        <v>0.9570548178785233</v>
      </c>
      <c r="L125" s="3"/>
    </row>
    <row r="126" spans="2:12" ht="15" hidden="1">
      <c r="B126" s="286" t="s">
        <v>153</v>
      </c>
      <c r="C126" s="287">
        <v>40000000</v>
      </c>
      <c r="D126" s="288">
        <v>1499675.196</v>
      </c>
      <c r="E126" s="288">
        <v>1499675.2</v>
      </c>
      <c r="F126" s="350">
        <v>322086.73</v>
      </c>
      <c r="G126" s="350"/>
      <c r="H126" s="288">
        <f>G126-F126</f>
        <v>-322086.73</v>
      </c>
      <c r="I126" s="338">
        <f t="shared" si="37"/>
        <v>0</v>
      </c>
      <c r="J126" s="29">
        <f>G126-E126</f>
        <v>-1499675.2</v>
      </c>
      <c r="K126" s="338">
        <f>G126/E126</f>
        <v>0</v>
      </c>
      <c r="L126" s="3"/>
    </row>
    <row r="127" spans="2:12" ht="26.25" hidden="1">
      <c r="B127" s="340" t="s">
        <v>169</v>
      </c>
      <c r="C127" s="341">
        <v>41033900</v>
      </c>
      <c r="D127" s="342">
        <v>249086.1</v>
      </c>
      <c r="E127" s="343">
        <v>249086.1</v>
      </c>
      <c r="F127" s="343">
        <v>38359.2</v>
      </c>
      <c r="G127" s="342">
        <v>38359.2</v>
      </c>
      <c r="H127" s="342">
        <f>G127-F127</f>
        <v>0</v>
      </c>
      <c r="I127" s="145">
        <f t="shared" si="37"/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340" t="s">
        <v>170</v>
      </c>
      <c r="C128" s="341">
        <v>41034200</v>
      </c>
      <c r="D128" s="342">
        <v>226186</v>
      </c>
      <c r="E128" s="342">
        <v>226186</v>
      </c>
      <c r="F128" s="342">
        <v>44005.9</v>
      </c>
      <c r="G128" s="342">
        <v>44005.9</v>
      </c>
      <c r="H128" s="342">
        <f>G128-F128</f>
        <v>0</v>
      </c>
      <c r="I128" s="145">
        <f t="shared" si="37"/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286" t="s">
        <v>166</v>
      </c>
      <c r="C129" s="287"/>
      <c r="D129" s="288">
        <v>0</v>
      </c>
      <c r="E129" s="288">
        <v>0</v>
      </c>
      <c r="F129" s="288">
        <v>0</v>
      </c>
      <c r="G129" s="288">
        <v>0</v>
      </c>
      <c r="H129" s="288">
        <f>G129-F129</f>
        <v>0</v>
      </c>
      <c r="I129" s="338" t="e">
        <f t="shared" si="37"/>
        <v>#DIV/0!</v>
      </c>
      <c r="J129" s="29">
        <f>G129-E129</f>
        <v>0</v>
      </c>
      <c r="K129" s="338" t="e">
        <f>G129/E129</f>
        <v>#DIV/0!</v>
      </c>
      <c r="L129" s="3"/>
    </row>
    <row r="130" spans="2:12" ht="18" hidden="1">
      <c r="B130" s="289" t="s">
        <v>154</v>
      </c>
      <c r="C130" s="290"/>
      <c r="D130" s="291">
        <f>D125+D126+D129</f>
        <v>3270627.9639999997</v>
      </c>
      <c r="E130" s="291">
        <f aca="true" t="shared" si="40" ref="E130:J130">E125+E126+E129</f>
        <v>3201641.412</v>
      </c>
      <c r="F130" s="291">
        <f t="shared" si="40"/>
        <v>726198.91122</v>
      </c>
      <c r="G130" s="291">
        <f t="shared" si="40"/>
        <v>386757.50999999995</v>
      </c>
      <c r="H130" s="291">
        <f t="shared" si="40"/>
        <v>-339441.40122000006</v>
      </c>
      <c r="I130" s="339">
        <f t="shared" si="37"/>
        <v>0.532577925998615</v>
      </c>
      <c r="J130" s="291">
        <f t="shared" si="40"/>
        <v>-2814883.902</v>
      </c>
      <c r="K130" s="339">
        <f>G130/E130</f>
        <v>0.12079975869577488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2"/>
      <c r="F133" s="78"/>
      <c r="G133" s="4"/>
    </row>
    <row r="134" spans="4:7" ht="15" hidden="1">
      <c r="D134" s="262"/>
      <c r="F134" s="78"/>
      <c r="G134" s="4"/>
    </row>
    <row r="135" spans="4:7" ht="15" hidden="1">
      <c r="D135" s="262"/>
      <c r="F135" s="78"/>
      <c r="G135" s="4"/>
    </row>
    <row r="136" spans="4:7" ht="15" hidden="1">
      <c r="D136" s="262"/>
      <c r="F136" s="78"/>
      <c r="G136" s="4"/>
    </row>
    <row r="137" spans="2:7" ht="15" hidden="1">
      <c r="B137" s="292" t="s">
        <v>155</v>
      </c>
      <c r="D137" s="4"/>
      <c r="F137" s="78"/>
      <c r="G137" s="4"/>
    </row>
    <row r="138" spans="2:26" ht="30.75" hidden="1">
      <c r="B138" s="293" t="s">
        <v>156</v>
      </c>
      <c r="C138" s="294">
        <v>13010200</v>
      </c>
      <c r="D138" s="295">
        <f>D17</f>
        <v>0</v>
      </c>
      <c r="E138" s="295">
        <f aca="true" t="shared" si="41" ref="E138:X139">E17</f>
        <v>0</v>
      </c>
      <c r="F138" s="295">
        <f t="shared" si="41"/>
        <v>0</v>
      </c>
      <c r="G138" s="295">
        <f t="shared" si="41"/>
        <v>0</v>
      </c>
      <c r="H138" s="295">
        <f t="shared" si="41"/>
        <v>0</v>
      </c>
      <c r="I138" s="315">
        <f t="shared" si="41"/>
        <v>0</v>
      </c>
      <c r="J138" s="295">
        <f t="shared" si="41"/>
        <v>0</v>
      </c>
      <c r="K138" s="315">
        <f t="shared" si="41"/>
        <v>0</v>
      </c>
      <c r="L138" s="295">
        <f t="shared" si="41"/>
        <v>0</v>
      </c>
      <c r="M138" s="295">
        <f t="shared" si="41"/>
        <v>0</v>
      </c>
      <c r="N138" s="295">
        <f t="shared" si="41"/>
        <v>0</v>
      </c>
      <c r="O138" s="295">
        <f t="shared" si="41"/>
        <v>0.49</v>
      </c>
      <c r="P138" s="295">
        <f t="shared" si="41"/>
        <v>-0.49</v>
      </c>
      <c r="Q138" s="315">
        <f t="shared" si="41"/>
        <v>0</v>
      </c>
      <c r="R138" s="295">
        <f t="shared" si="41"/>
        <v>0</v>
      </c>
      <c r="S138" s="295">
        <f t="shared" si="41"/>
        <v>0</v>
      </c>
      <c r="T138" s="315" t="e">
        <f t="shared" si="41"/>
        <v>#DIV/0!</v>
      </c>
      <c r="U138" s="295">
        <f t="shared" si="41"/>
        <v>0</v>
      </c>
      <c r="V138" s="295">
        <f t="shared" si="41"/>
        <v>0</v>
      </c>
      <c r="W138" s="295">
        <f t="shared" si="41"/>
        <v>0</v>
      </c>
      <c r="X138" s="315">
        <f t="shared" si="41"/>
        <v>0</v>
      </c>
      <c r="Y138" s="336" t="e">
        <f>T138-Q138</f>
        <v>#DIV/0!</v>
      </c>
      <c r="Z138" s="163"/>
    </row>
    <row r="139" spans="2:26" ht="30.75" hidden="1">
      <c r="B139" s="297" t="s">
        <v>157</v>
      </c>
      <c r="C139" s="294">
        <v>13030200</v>
      </c>
      <c r="D139" s="295">
        <f>D18</f>
        <v>235.6</v>
      </c>
      <c r="E139" s="295">
        <f t="shared" si="41"/>
        <v>235.6</v>
      </c>
      <c r="F139" s="295">
        <f t="shared" si="41"/>
        <v>120</v>
      </c>
      <c r="G139" s="295">
        <f t="shared" si="41"/>
        <v>194.24</v>
      </c>
      <c r="H139" s="295">
        <f t="shared" si="41"/>
        <v>74.24000000000001</v>
      </c>
      <c r="I139" s="315">
        <f t="shared" si="41"/>
        <v>1.6186666666666667</v>
      </c>
      <c r="J139" s="295">
        <f t="shared" si="41"/>
        <v>-41.359999999999985</v>
      </c>
      <c r="K139" s="315">
        <f t="shared" si="41"/>
        <v>82.44482173174873</v>
      </c>
      <c r="L139" s="295">
        <f t="shared" si="41"/>
        <v>0</v>
      </c>
      <c r="M139" s="295">
        <f t="shared" si="41"/>
        <v>0</v>
      </c>
      <c r="N139" s="295">
        <f t="shared" si="41"/>
        <v>0</v>
      </c>
      <c r="O139" s="295">
        <f t="shared" si="41"/>
        <v>220.59</v>
      </c>
      <c r="P139" s="295">
        <f t="shared" si="41"/>
        <v>15.009999999999991</v>
      </c>
      <c r="Q139" s="315">
        <f t="shared" si="41"/>
        <v>1.0680447889750215</v>
      </c>
      <c r="R139" s="295">
        <f t="shared" si="41"/>
        <v>118.46</v>
      </c>
      <c r="S139" s="295">
        <f t="shared" si="41"/>
        <v>75.78000000000002</v>
      </c>
      <c r="T139" s="315">
        <f t="shared" si="41"/>
        <v>1.639709606618268</v>
      </c>
      <c r="U139" s="295">
        <f t="shared" si="41"/>
        <v>0</v>
      </c>
      <c r="V139" s="295">
        <f t="shared" si="41"/>
        <v>0</v>
      </c>
      <c r="W139" s="295">
        <f t="shared" si="41"/>
        <v>0</v>
      </c>
      <c r="X139" s="315" t="e">
        <f t="shared" si="41"/>
        <v>#DIV/0!</v>
      </c>
      <c r="Y139" s="336">
        <f aca="true" t="shared" si="42" ref="Y139:Y161">T139-Q139</f>
        <v>0.5716648176432464</v>
      </c>
      <c r="Z139" s="163"/>
    </row>
    <row r="140" spans="2:26" ht="15" hidden="1">
      <c r="B140" s="298" t="s">
        <v>51</v>
      </c>
      <c r="C140" s="299">
        <v>21080500</v>
      </c>
      <c r="D140" s="300">
        <f>D56</f>
        <v>158</v>
      </c>
      <c r="E140" s="300">
        <f aca="true" t="shared" si="43" ref="E140:X143">E56</f>
        <v>158</v>
      </c>
      <c r="F140" s="300">
        <f t="shared" si="43"/>
        <v>28</v>
      </c>
      <c r="G140" s="300">
        <f t="shared" si="43"/>
        <v>51.82</v>
      </c>
      <c r="H140" s="300">
        <f t="shared" si="43"/>
        <v>23.82</v>
      </c>
      <c r="I140" s="332">
        <f t="shared" si="43"/>
        <v>1.8507142857142858</v>
      </c>
      <c r="J140" s="300">
        <f t="shared" si="43"/>
        <v>-106.18</v>
      </c>
      <c r="K140" s="332">
        <f t="shared" si="43"/>
        <v>0.3279746835443038</v>
      </c>
      <c r="L140" s="300">
        <f t="shared" si="43"/>
        <v>0</v>
      </c>
      <c r="M140" s="300">
        <f t="shared" si="43"/>
        <v>0</v>
      </c>
      <c r="N140" s="300">
        <f t="shared" si="43"/>
        <v>0</v>
      </c>
      <c r="O140" s="300">
        <f t="shared" si="43"/>
        <v>153.3</v>
      </c>
      <c r="P140" s="300">
        <f t="shared" si="43"/>
        <v>4.699999999999989</v>
      </c>
      <c r="Q140" s="332">
        <f t="shared" si="43"/>
        <v>1.030658838878017</v>
      </c>
      <c r="R140" s="300">
        <f t="shared" si="43"/>
        <v>72.08</v>
      </c>
      <c r="S140" s="300">
        <f t="shared" si="43"/>
        <v>-20.259999999999998</v>
      </c>
      <c r="T140" s="332">
        <f t="shared" si="43"/>
        <v>0.7189234184239733</v>
      </c>
      <c r="U140" s="300">
        <f t="shared" si="43"/>
        <v>14</v>
      </c>
      <c r="V140" s="300">
        <f t="shared" si="43"/>
        <v>38.59</v>
      </c>
      <c r="W140" s="300">
        <f t="shared" si="43"/>
        <v>24.590000000000003</v>
      </c>
      <c r="X140" s="315">
        <f t="shared" si="43"/>
        <v>2.7564285714285717</v>
      </c>
      <c r="Y140" s="336">
        <f t="shared" si="42"/>
        <v>-0.31173542045404357</v>
      </c>
      <c r="Z140" s="163"/>
    </row>
    <row r="141" spans="2:26" ht="30.75" hidden="1">
      <c r="B141" s="302" t="s">
        <v>34</v>
      </c>
      <c r="C141" s="303">
        <v>21080900</v>
      </c>
      <c r="D141" s="304">
        <f>D57</f>
        <v>13</v>
      </c>
      <c r="E141" s="304">
        <f t="shared" si="43"/>
        <v>13</v>
      </c>
      <c r="F141" s="304">
        <f t="shared" si="43"/>
        <v>4</v>
      </c>
      <c r="G141" s="304">
        <f t="shared" si="43"/>
        <v>2.02</v>
      </c>
      <c r="H141" s="304">
        <f t="shared" si="43"/>
        <v>-1.98</v>
      </c>
      <c r="I141" s="333">
        <f t="shared" si="43"/>
        <v>0.505</v>
      </c>
      <c r="J141" s="304">
        <f t="shared" si="43"/>
        <v>-10.98</v>
      </c>
      <c r="K141" s="333">
        <f t="shared" si="43"/>
        <v>0.1553846153846154</v>
      </c>
      <c r="L141" s="304">
        <f t="shared" si="43"/>
        <v>0</v>
      </c>
      <c r="M141" s="304">
        <f t="shared" si="43"/>
        <v>0</v>
      </c>
      <c r="N141" s="304">
        <f t="shared" si="43"/>
        <v>0</v>
      </c>
      <c r="O141" s="304">
        <f t="shared" si="43"/>
        <v>12.95</v>
      </c>
      <c r="P141" s="304">
        <f t="shared" si="43"/>
        <v>0.05000000000000071</v>
      </c>
      <c r="Q141" s="333">
        <f t="shared" si="43"/>
        <v>1.0038610038610039</v>
      </c>
      <c r="R141" s="304">
        <f t="shared" si="43"/>
        <v>2.03</v>
      </c>
      <c r="S141" s="304">
        <f t="shared" si="43"/>
        <v>-0.009999999999999787</v>
      </c>
      <c r="T141" s="333">
        <f t="shared" si="43"/>
        <v>0</v>
      </c>
      <c r="U141" s="304">
        <f t="shared" si="43"/>
        <v>1</v>
      </c>
      <c r="V141" s="304">
        <f t="shared" si="43"/>
        <v>0</v>
      </c>
      <c r="W141" s="304">
        <f t="shared" si="43"/>
        <v>-1</v>
      </c>
      <c r="X141" s="335">
        <f t="shared" si="43"/>
        <v>0</v>
      </c>
      <c r="Y141" s="336">
        <f t="shared" si="42"/>
        <v>-1.0038610038610039</v>
      </c>
      <c r="Z141" s="163"/>
    </row>
    <row r="142" spans="2:26" ht="15" hidden="1">
      <c r="B142" s="297" t="s">
        <v>16</v>
      </c>
      <c r="C142" s="294">
        <v>21081100</v>
      </c>
      <c r="D142" s="295">
        <f>D58</f>
        <v>744</v>
      </c>
      <c r="E142" s="295">
        <f t="shared" si="43"/>
        <v>744</v>
      </c>
      <c r="F142" s="295">
        <f t="shared" si="43"/>
        <v>148.43</v>
      </c>
      <c r="G142" s="295">
        <f t="shared" si="43"/>
        <v>224.59</v>
      </c>
      <c r="H142" s="295">
        <f t="shared" si="43"/>
        <v>76.16</v>
      </c>
      <c r="I142" s="315">
        <f t="shared" si="43"/>
        <v>1.5131038199824833</v>
      </c>
      <c r="J142" s="295">
        <f t="shared" si="43"/>
        <v>-519.41</v>
      </c>
      <c r="K142" s="315">
        <f t="shared" si="43"/>
        <v>0.3018682795698925</v>
      </c>
      <c r="L142" s="295">
        <f t="shared" si="43"/>
        <v>0</v>
      </c>
      <c r="M142" s="295">
        <f t="shared" si="43"/>
        <v>0</v>
      </c>
      <c r="N142" s="295">
        <f t="shared" si="43"/>
        <v>0</v>
      </c>
      <c r="O142" s="295">
        <f t="shared" si="43"/>
        <v>705.31</v>
      </c>
      <c r="P142" s="295">
        <f t="shared" si="43"/>
        <v>38.690000000000055</v>
      </c>
      <c r="Q142" s="315">
        <f t="shared" si="43"/>
        <v>1.0548553118486907</v>
      </c>
      <c r="R142" s="295">
        <f t="shared" si="43"/>
        <v>277.76</v>
      </c>
      <c r="S142" s="295">
        <f t="shared" si="43"/>
        <v>-53.16999999999999</v>
      </c>
      <c r="T142" s="315">
        <f t="shared" si="43"/>
        <v>0.8085757488479263</v>
      </c>
      <c r="U142" s="295">
        <f t="shared" si="43"/>
        <v>60</v>
      </c>
      <c r="V142" s="295">
        <f t="shared" si="43"/>
        <v>172.41</v>
      </c>
      <c r="W142" s="295">
        <f t="shared" si="43"/>
        <v>112.41</v>
      </c>
      <c r="X142" s="315">
        <f t="shared" si="43"/>
        <v>2.8735</v>
      </c>
      <c r="Y142" s="336">
        <f t="shared" si="42"/>
        <v>-0.24627956300076448</v>
      </c>
      <c r="Z142" s="163"/>
    </row>
    <row r="143" spans="2:26" ht="46.5" hidden="1">
      <c r="B143" s="297" t="s">
        <v>67</v>
      </c>
      <c r="C143" s="294">
        <v>21081500</v>
      </c>
      <c r="D143" s="295">
        <f>D59</f>
        <v>115.5</v>
      </c>
      <c r="E143" s="295">
        <f t="shared" si="43"/>
        <v>115.5</v>
      </c>
      <c r="F143" s="295">
        <f t="shared" si="43"/>
        <v>20</v>
      </c>
      <c r="G143" s="295">
        <f t="shared" si="43"/>
        <v>8.62</v>
      </c>
      <c r="H143" s="295">
        <f t="shared" si="43"/>
        <v>-11.38</v>
      </c>
      <c r="I143" s="315">
        <f t="shared" si="43"/>
        <v>0.43099999999999994</v>
      </c>
      <c r="J143" s="295">
        <f t="shared" si="43"/>
        <v>-106.88</v>
      </c>
      <c r="K143" s="315">
        <f t="shared" si="43"/>
        <v>0.07463203463203462</v>
      </c>
      <c r="L143" s="295">
        <f t="shared" si="43"/>
        <v>0</v>
      </c>
      <c r="M143" s="295">
        <f t="shared" si="43"/>
        <v>0</v>
      </c>
      <c r="N143" s="295">
        <f t="shared" si="43"/>
        <v>0</v>
      </c>
      <c r="O143" s="295">
        <f t="shared" si="43"/>
        <v>114.3</v>
      </c>
      <c r="P143" s="295">
        <f t="shared" si="43"/>
        <v>1.2000000000000028</v>
      </c>
      <c r="Q143" s="315">
        <f t="shared" si="43"/>
        <v>1.010498687664042</v>
      </c>
      <c r="R143" s="295">
        <f t="shared" si="43"/>
        <v>0.51</v>
      </c>
      <c r="S143" s="295">
        <f t="shared" si="43"/>
        <v>8.11</v>
      </c>
      <c r="T143" s="315">
        <f t="shared" si="43"/>
        <v>16.901960784313722</v>
      </c>
      <c r="U143" s="295">
        <f t="shared" si="43"/>
        <v>10</v>
      </c>
      <c r="V143" s="295">
        <f t="shared" si="43"/>
        <v>20.2</v>
      </c>
      <c r="W143" s="295">
        <f t="shared" si="43"/>
        <v>10.2</v>
      </c>
      <c r="X143" s="315">
        <f t="shared" si="43"/>
        <v>2.02</v>
      </c>
      <c r="Y143" s="336">
        <f t="shared" si="42"/>
        <v>15.891462096649681</v>
      </c>
      <c r="Z143" s="163"/>
    </row>
    <row r="144" spans="2:26" ht="46.5" hidden="1">
      <c r="B144" s="297" t="s">
        <v>17</v>
      </c>
      <c r="C144" s="294" t="s">
        <v>18</v>
      </c>
      <c r="D144" s="295">
        <f>D71</f>
        <v>3</v>
      </c>
      <c r="E144" s="295">
        <f aca="true" t="shared" si="44" ref="E144:X144">E71</f>
        <v>3</v>
      </c>
      <c r="F144" s="295">
        <f t="shared" si="44"/>
        <v>1.5</v>
      </c>
      <c r="G144" s="295">
        <f t="shared" si="44"/>
        <v>0</v>
      </c>
      <c r="H144" s="295">
        <f t="shared" si="44"/>
        <v>-1.5</v>
      </c>
      <c r="I144" s="315">
        <f t="shared" si="44"/>
        <v>0</v>
      </c>
      <c r="J144" s="295">
        <f t="shared" si="44"/>
        <v>-3</v>
      </c>
      <c r="K144" s="315">
        <f t="shared" si="44"/>
        <v>0</v>
      </c>
      <c r="L144" s="295">
        <f t="shared" si="44"/>
        <v>0</v>
      </c>
      <c r="M144" s="295">
        <f t="shared" si="44"/>
        <v>0</v>
      </c>
      <c r="N144" s="295">
        <f t="shared" si="44"/>
        <v>0</v>
      </c>
      <c r="O144" s="295">
        <f t="shared" si="44"/>
        <v>2.04</v>
      </c>
      <c r="P144" s="295">
        <f t="shared" si="44"/>
        <v>0.96</v>
      </c>
      <c r="Q144" s="315">
        <f t="shared" si="44"/>
        <v>1.4705882352941175</v>
      </c>
      <c r="R144" s="295">
        <f t="shared" si="44"/>
        <v>2.04</v>
      </c>
      <c r="S144" s="295">
        <f t="shared" si="44"/>
        <v>-2.04</v>
      </c>
      <c r="T144" s="315">
        <f t="shared" si="44"/>
        <v>0</v>
      </c>
      <c r="U144" s="295">
        <f t="shared" si="44"/>
        <v>0</v>
      </c>
      <c r="V144" s="295">
        <f t="shared" si="44"/>
        <v>0</v>
      </c>
      <c r="W144" s="295">
        <f t="shared" si="44"/>
        <v>0</v>
      </c>
      <c r="X144" s="315">
        <f t="shared" si="44"/>
        <v>0</v>
      </c>
      <c r="Y144" s="336">
        <f t="shared" si="42"/>
        <v>-1.4705882352941175</v>
      </c>
      <c r="Z144" s="163"/>
    </row>
    <row r="145" spans="2:26" ht="30.75" hidden="1">
      <c r="B145" s="306" t="s">
        <v>39</v>
      </c>
      <c r="C145" s="294">
        <v>31010200</v>
      </c>
      <c r="D145" s="307">
        <f>D77</f>
        <v>35</v>
      </c>
      <c r="E145" s="307">
        <f aca="true" t="shared" si="45" ref="E145:X146">E77</f>
        <v>35</v>
      </c>
      <c r="F145" s="307">
        <f t="shared" si="45"/>
        <v>9.57</v>
      </c>
      <c r="G145" s="307">
        <f t="shared" si="45"/>
        <v>4.74</v>
      </c>
      <c r="H145" s="307">
        <f t="shared" si="45"/>
        <v>-4.83</v>
      </c>
      <c r="I145" s="334">
        <f t="shared" si="45"/>
        <v>0.49529780564263326</v>
      </c>
      <c r="J145" s="307">
        <f t="shared" si="45"/>
        <v>-30.259999999999998</v>
      </c>
      <c r="K145" s="334">
        <f t="shared" si="45"/>
        <v>0.13542857142857143</v>
      </c>
      <c r="L145" s="307">
        <f t="shared" si="45"/>
        <v>0</v>
      </c>
      <c r="M145" s="307">
        <f t="shared" si="45"/>
        <v>0</v>
      </c>
      <c r="N145" s="307">
        <f t="shared" si="45"/>
        <v>0</v>
      </c>
      <c r="O145" s="307">
        <f t="shared" si="45"/>
        <v>34.22</v>
      </c>
      <c r="P145" s="307">
        <f t="shared" si="45"/>
        <v>0.7800000000000011</v>
      </c>
      <c r="Q145" s="334">
        <f t="shared" si="45"/>
        <v>1.0227936879018118</v>
      </c>
      <c r="R145" s="307">
        <f t="shared" si="45"/>
        <v>14.27</v>
      </c>
      <c r="S145" s="307">
        <f t="shared" si="45"/>
        <v>-9.53</v>
      </c>
      <c r="T145" s="334">
        <f t="shared" si="45"/>
        <v>0.33216538192011213</v>
      </c>
      <c r="U145" s="307">
        <f t="shared" si="45"/>
        <v>2.9000000000000004</v>
      </c>
      <c r="V145" s="307">
        <f t="shared" si="45"/>
        <v>0</v>
      </c>
      <c r="W145" s="307">
        <f t="shared" si="45"/>
        <v>-2.9000000000000004</v>
      </c>
      <c r="X145" s="334">
        <f t="shared" si="45"/>
        <v>0</v>
      </c>
      <c r="Y145" s="336">
        <f t="shared" si="42"/>
        <v>-0.6906283059816997</v>
      </c>
      <c r="Z145" s="163"/>
    </row>
    <row r="146" spans="2:26" ht="30.75" hidden="1">
      <c r="B146" s="306" t="s">
        <v>49</v>
      </c>
      <c r="C146" s="294">
        <v>31020000</v>
      </c>
      <c r="D146" s="307">
        <f>D78</f>
        <v>0</v>
      </c>
      <c r="E146" s="307">
        <f t="shared" si="45"/>
        <v>0</v>
      </c>
      <c r="F146" s="307">
        <f t="shared" si="45"/>
        <v>0</v>
      </c>
      <c r="G146" s="307">
        <f t="shared" si="45"/>
        <v>0.45</v>
      </c>
      <c r="H146" s="307">
        <f t="shared" si="45"/>
        <v>0.45</v>
      </c>
      <c r="I146" s="334" t="e">
        <f t="shared" si="45"/>
        <v>#DIV/0!</v>
      </c>
      <c r="J146" s="307">
        <f t="shared" si="45"/>
        <v>0.45</v>
      </c>
      <c r="K146" s="334">
        <f t="shared" si="45"/>
        <v>0</v>
      </c>
      <c r="L146" s="307">
        <f t="shared" si="45"/>
        <v>0</v>
      </c>
      <c r="M146" s="307">
        <f t="shared" si="45"/>
        <v>0</v>
      </c>
      <c r="N146" s="307">
        <f t="shared" si="45"/>
        <v>0</v>
      </c>
      <c r="O146" s="307">
        <f t="shared" si="45"/>
        <v>-4.86</v>
      </c>
      <c r="P146" s="307">
        <f t="shared" si="45"/>
        <v>4.86</v>
      </c>
      <c r="Q146" s="334">
        <f t="shared" si="45"/>
        <v>0</v>
      </c>
      <c r="R146" s="307">
        <f t="shared" si="45"/>
        <v>-5.33</v>
      </c>
      <c r="S146" s="307">
        <f t="shared" si="45"/>
        <v>5.78</v>
      </c>
      <c r="T146" s="334">
        <f t="shared" si="45"/>
        <v>-0.08442776735459663</v>
      </c>
      <c r="U146" s="307">
        <f t="shared" si="45"/>
        <v>0</v>
      </c>
      <c r="V146" s="307" t="str">
        <f t="shared" si="45"/>
        <v>ж</v>
      </c>
      <c r="W146" s="307" t="e">
        <f t="shared" si="45"/>
        <v>#VALUE!</v>
      </c>
      <c r="X146" s="334">
        <f t="shared" si="45"/>
        <v>0</v>
      </c>
      <c r="Y146" s="336">
        <f t="shared" si="42"/>
        <v>-0.08442776735459663</v>
      </c>
      <c r="Z146" s="163"/>
    </row>
    <row r="147" spans="4:26" ht="15" hidden="1">
      <c r="D147" s="311">
        <f>SUM(D138:D146)</f>
        <v>1304.1</v>
      </c>
      <c r="E147" s="311">
        <f>SUM(E138:E146)</f>
        <v>1304.1</v>
      </c>
      <c r="F147" s="311">
        <f>SUM(F138:F146)</f>
        <v>331.5</v>
      </c>
      <c r="G147" s="311">
        <f>SUM(G138:G146)</f>
        <v>486.48</v>
      </c>
      <c r="H147" s="311">
        <f>SUM(H138:H146)</f>
        <v>154.98</v>
      </c>
      <c r="I147" s="189">
        <f>G147/F147</f>
        <v>1.4675113122171946</v>
      </c>
      <c r="J147" s="311">
        <f>G147-E147</f>
        <v>-817.6199999999999</v>
      </c>
      <c r="K147" s="331">
        <f>G147/E147</f>
        <v>0.3730388773867035</v>
      </c>
      <c r="O147" s="311">
        <f>SUM(O138:O146)</f>
        <v>1238.34</v>
      </c>
      <c r="P147" s="311">
        <f>SUM(P138:P146)</f>
        <v>65.76000000000005</v>
      </c>
      <c r="Q147" s="189">
        <f>E147/O147</f>
        <v>1.053103348030428</v>
      </c>
      <c r="R147" s="311">
        <f>SUM(R138:R146)</f>
        <v>481.82</v>
      </c>
      <c r="S147" s="311">
        <f>SUM(S138:S146)</f>
        <v>4.660000000000033</v>
      </c>
      <c r="T147" s="189">
        <f>G147/R147</f>
        <v>1.0096716616163712</v>
      </c>
      <c r="U147" s="311">
        <f>SUM(U138:U146)</f>
        <v>87.9</v>
      </c>
      <c r="V147" s="311">
        <f>SUM(V138:V146)</f>
        <v>231.2</v>
      </c>
      <c r="W147" s="311" t="e">
        <f>SUM(W138:W146)</f>
        <v>#VALUE!</v>
      </c>
      <c r="X147" s="189">
        <f>V147/U147</f>
        <v>2.6302616609783844</v>
      </c>
      <c r="Y147" s="189">
        <f t="shared" si="42"/>
        <v>-0.0434316864140567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12" t="s">
        <v>158</v>
      </c>
      <c r="D149" s="4"/>
      <c r="F149" s="78"/>
      <c r="G149" s="4"/>
      <c r="Y149" s="189"/>
    </row>
    <row r="150" spans="2:25" ht="30.75" hidden="1">
      <c r="B150" s="313" t="s">
        <v>89</v>
      </c>
      <c r="C150" s="314">
        <v>22010300</v>
      </c>
      <c r="D150" s="295">
        <f>D60</f>
        <v>1284</v>
      </c>
      <c r="E150" s="295">
        <f aca="true" t="shared" si="46" ref="E150:X154">E60</f>
        <v>1284</v>
      </c>
      <c r="F150" s="295">
        <f t="shared" si="46"/>
        <v>284</v>
      </c>
      <c r="G150" s="295">
        <f t="shared" si="46"/>
        <v>280.33</v>
      </c>
      <c r="H150" s="295">
        <f t="shared" si="46"/>
        <v>-3.670000000000016</v>
      </c>
      <c r="I150" s="315">
        <f t="shared" si="46"/>
        <v>0.9870774647887324</v>
      </c>
      <c r="J150" s="295">
        <f t="shared" si="46"/>
        <v>-1003.6700000000001</v>
      </c>
      <c r="K150" s="315">
        <f t="shared" si="46"/>
        <v>0.21832554517133956</v>
      </c>
      <c r="L150" s="295">
        <f t="shared" si="46"/>
        <v>0</v>
      </c>
      <c r="M150" s="295">
        <f t="shared" si="46"/>
        <v>0</v>
      </c>
      <c r="N150" s="295">
        <f t="shared" si="46"/>
        <v>0</v>
      </c>
      <c r="O150" s="295">
        <f t="shared" si="46"/>
        <v>1205.14</v>
      </c>
      <c r="P150" s="295">
        <f t="shared" si="46"/>
        <v>78.8599999999999</v>
      </c>
      <c r="Q150" s="315">
        <f t="shared" si="46"/>
        <v>1.0654363808354215</v>
      </c>
      <c r="R150" s="295">
        <f t="shared" si="46"/>
        <v>300.95</v>
      </c>
      <c r="S150" s="295">
        <f t="shared" si="46"/>
        <v>-20.620000000000005</v>
      </c>
      <c r="T150" s="315">
        <f t="shared" si="46"/>
        <v>0.9314836351553414</v>
      </c>
      <c r="U150" s="295">
        <f t="shared" si="46"/>
        <v>100</v>
      </c>
      <c r="V150" s="295">
        <f t="shared" si="46"/>
        <v>103.13999999999999</v>
      </c>
      <c r="W150" s="295">
        <f t="shared" si="46"/>
        <v>3.1399999999999864</v>
      </c>
      <c r="X150" s="315">
        <f t="shared" si="46"/>
        <v>1.0313999999999999</v>
      </c>
      <c r="Y150" s="336">
        <f t="shared" si="42"/>
        <v>-0.1339527456800801</v>
      </c>
    </row>
    <row r="151" spans="2:25" ht="15" hidden="1">
      <c r="B151" s="313" t="s">
        <v>106</v>
      </c>
      <c r="C151" s="314">
        <v>22010200</v>
      </c>
      <c r="D151" s="295">
        <f>D61</f>
        <v>0</v>
      </c>
      <c r="E151" s="295">
        <f t="shared" si="46"/>
        <v>0</v>
      </c>
      <c r="F151" s="295">
        <f t="shared" si="46"/>
        <v>0</v>
      </c>
      <c r="G151" s="295">
        <f t="shared" si="46"/>
        <v>0</v>
      </c>
      <c r="H151" s="295">
        <f t="shared" si="46"/>
        <v>0</v>
      </c>
      <c r="I151" s="315" t="e">
        <f t="shared" si="46"/>
        <v>#DIV/0!</v>
      </c>
      <c r="J151" s="295">
        <f t="shared" si="46"/>
        <v>0</v>
      </c>
      <c r="K151" s="315" t="e">
        <f t="shared" si="46"/>
        <v>#DIV/0!</v>
      </c>
      <c r="L151" s="295">
        <f t="shared" si="46"/>
        <v>0</v>
      </c>
      <c r="M151" s="295">
        <f t="shared" si="46"/>
        <v>0</v>
      </c>
      <c r="N151" s="295">
        <f t="shared" si="46"/>
        <v>0</v>
      </c>
      <c r="O151" s="295">
        <f t="shared" si="46"/>
        <v>23.38</v>
      </c>
      <c r="P151" s="295">
        <f t="shared" si="46"/>
        <v>-23.38</v>
      </c>
      <c r="Q151" s="315">
        <f t="shared" si="46"/>
        <v>0</v>
      </c>
      <c r="R151" s="295">
        <f t="shared" si="46"/>
        <v>0</v>
      </c>
      <c r="S151" s="295">
        <f t="shared" si="46"/>
        <v>0</v>
      </c>
      <c r="T151" s="315">
        <f t="shared" si="46"/>
        <v>0</v>
      </c>
      <c r="U151" s="295">
        <f t="shared" si="46"/>
        <v>0</v>
      </c>
      <c r="V151" s="295">
        <f t="shared" si="46"/>
        <v>0</v>
      </c>
      <c r="W151" s="295">
        <f t="shared" si="46"/>
        <v>0</v>
      </c>
      <c r="X151" s="315" t="e">
        <f t="shared" si="46"/>
        <v>#DIV/0!</v>
      </c>
      <c r="Y151" s="336">
        <f t="shared" si="42"/>
        <v>0</v>
      </c>
    </row>
    <row r="152" spans="2:25" ht="15" hidden="1">
      <c r="B152" s="316" t="s">
        <v>65</v>
      </c>
      <c r="C152" s="317">
        <v>22012500</v>
      </c>
      <c r="D152" s="318">
        <f>D62</f>
        <v>21260</v>
      </c>
      <c r="E152" s="318">
        <f t="shared" si="46"/>
        <v>21260</v>
      </c>
      <c r="F152" s="318">
        <f t="shared" si="46"/>
        <v>5690</v>
      </c>
      <c r="G152" s="318">
        <f t="shared" si="46"/>
        <v>6201.94</v>
      </c>
      <c r="H152" s="318">
        <f t="shared" si="46"/>
        <v>511.9399999999996</v>
      </c>
      <c r="I152" s="319">
        <f t="shared" si="46"/>
        <v>1.0899718804920913</v>
      </c>
      <c r="J152" s="318">
        <f t="shared" si="46"/>
        <v>-15058.060000000001</v>
      </c>
      <c r="K152" s="319">
        <f t="shared" si="46"/>
        <v>0.2917187206020696</v>
      </c>
      <c r="L152" s="318">
        <f t="shared" si="46"/>
        <v>0</v>
      </c>
      <c r="M152" s="318">
        <f t="shared" si="46"/>
        <v>0</v>
      </c>
      <c r="N152" s="318">
        <f t="shared" si="46"/>
        <v>0</v>
      </c>
      <c r="O152" s="318">
        <f t="shared" si="46"/>
        <v>20110.14</v>
      </c>
      <c r="P152" s="318">
        <f t="shared" si="46"/>
        <v>1149.8600000000006</v>
      </c>
      <c r="Q152" s="319">
        <f t="shared" si="46"/>
        <v>1.0571781200926498</v>
      </c>
      <c r="R152" s="318">
        <f t="shared" si="46"/>
        <v>3584.94</v>
      </c>
      <c r="S152" s="318">
        <f t="shared" si="46"/>
        <v>2616.9999999999995</v>
      </c>
      <c r="T152" s="319">
        <f t="shared" si="46"/>
        <v>1.729998270542882</v>
      </c>
      <c r="U152" s="318">
        <f t="shared" si="46"/>
        <v>1800</v>
      </c>
      <c r="V152" s="318">
        <f t="shared" si="46"/>
        <v>2246.5199999999995</v>
      </c>
      <c r="W152" s="318">
        <f t="shared" si="46"/>
        <v>446.5199999999995</v>
      </c>
      <c r="X152" s="319">
        <f t="shared" si="46"/>
        <v>1.2480666666666664</v>
      </c>
      <c r="Y152" s="336">
        <f t="shared" si="42"/>
        <v>0.6728201504502322</v>
      </c>
    </row>
    <row r="153" spans="2:25" ht="30.75" hidden="1">
      <c r="B153" s="316" t="s">
        <v>86</v>
      </c>
      <c r="C153" s="317">
        <v>22012600</v>
      </c>
      <c r="D153" s="318">
        <f>D63</f>
        <v>767</v>
      </c>
      <c r="E153" s="318">
        <f t="shared" si="46"/>
        <v>767</v>
      </c>
      <c r="F153" s="318">
        <f t="shared" si="46"/>
        <v>185</v>
      </c>
      <c r="G153" s="318">
        <f t="shared" si="46"/>
        <v>202.16</v>
      </c>
      <c r="H153" s="318">
        <f t="shared" si="46"/>
        <v>17.159999999999997</v>
      </c>
      <c r="I153" s="319">
        <f t="shared" si="46"/>
        <v>1.0927567567567567</v>
      </c>
      <c r="J153" s="318">
        <f t="shared" si="46"/>
        <v>-564.84</v>
      </c>
      <c r="K153" s="319">
        <f t="shared" si="46"/>
        <v>0.26357235984354627</v>
      </c>
      <c r="L153" s="318">
        <f t="shared" si="46"/>
        <v>0</v>
      </c>
      <c r="M153" s="318">
        <f t="shared" si="46"/>
        <v>0</v>
      </c>
      <c r="N153" s="318">
        <f t="shared" si="46"/>
        <v>0</v>
      </c>
      <c r="O153" s="318">
        <f t="shared" si="46"/>
        <v>710.04</v>
      </c>
      <c r="P153" s="318">
        <f t="shared" si="46"/>
        <v>56.960000000000036</v>
      </c>
      <c r="Q153" s="319">
        <f t="shared" si="46"/>
        <v>1.0802208326291478</v>
      </c>
      <c r="R153" s="318">
        <f t="shared" si="46"/>
        <v>135.2</v>
      </c>
      <c r="S153" s="318">
        <f t="shared" si="46"/>
        <v>66.96000000000001</v>
      </c>
      <c r="T153" s="319">
        <f t="shared" si="46"/>
        <v>1.4952662721893493</v>
      </c>
      <c r="U153" s="318">
        <f t="shared" si="46"/>
        <v>64</v>
      </c>
      <c r="V153" s="318">
        <f t="shared" si="46"/>
        <v>80.47</v>
      </c>
      <c r="W153" s="318">
        <f t="shared" si="46"/>
        <v>16.47</v>
      </c>
      <c r="X153" s="319">
        <f t="shared" si="46"/>
        <v>1.25734375</v>
      </c>
      <c r="Y153" s="336">
        <f t="shared" si="42"/>
        <v>0.41504543956020146</v>
      </c>
    </row>
    <row r="154" spans="2:25" ht="30.75" hidden="1">
      <c r="B154" s="316" t="s">
        <v>90</v>
      </c>
      <c r="C154" s="317">
        <v>22012900</v>
      </c>
      <c r="D154" s="318">
        <f>D64</f>
        <v>44</v>
      </c>
      <c r="E154" s="318">
        <f t="shared" si="46"/>
        <v>44</v>
      </c>
      <c r="F154" s="318">
        <f t="shared" si="46"/>
        <v>8</v>
      </c>
      <c r="G154" s="318">
        <f t="shared" si="46"/>
        <v>7.76</v>
      </c>
      <c r="H154" s="318">
        <f t="shared" si="46"/>
        <v>-0.2400000000000002</v>
      </c>
      <c r="I154" s="319">
        <f t="shared" si="46"/>
        <v>0.97</v>
      </c>
      <c r="J154" s="318">
        <f t="shared" si="46"/>
        <v>-36.24</v>
      </c>
      <c r="K154" s="319">
        <f t="shared" si="46"/>
        <v>0.17636363636363636</v>
      </c>
      <c r="L154" s="318">
        <f t="shared" si="46"/>
        <v>0</v>
      </c>
      <c r="M154" s="318">
        <f t="shared" si="46"/>
        <v>0</v>
      </c>
      <c r="N154" s="318">
        <f t="shared" si="46"/>
        <v>0</v>
      </c>
      <c r="O154" s="318">
        <f t="shared" si="46"/>
        <v>41.44</v>
      </c>
      <c r="P154" s="318">
        <f t="shared" si="46"/>
        <v>2.5600000000000023</v>
      </c>
      <c r="Q154" s="319">
        <f t="shared" si="46"/>
        <v>1.0617760617760619</v>
      </c>
      <c r="R154" s="318">
        <f t="shared" si="46"/>
        <v>4</v>
      </c>
      <c r="S154" s="318">
        <f t="shared" si="46"/>
        <v>3.76</v>
      </c>
      <c r="T154" s="319">
        <f t="shared" si="46"/>
        <v>1.94</v>
      </c>
      <c r="U154" s="318">
        <f t="shared" si="46"/>
        <v>4</v>
      </c>
      <c r="V154" s="318">
        <f t="shared" si="46"/>
        <v>1.0599999999999996</v>
      </c>
      <c r="W154" s="318">
        <f t="shared" si="46"/>
        <v>-2.9400000000000004</v>
      </c>
      <c r="X154" s="319">
        <f t="shared" si="46"/>
        <v>0.2649999999999999</v>
      </c>
      <c r="Y154" s="336">
        <f t="shared" si="42"/>
        <v>0.8782239382239381</v>
      </c>
    </row>
    <row r="155" spans="2:25" ht="15" hidden="1">
      <c r="B155" s="312" t="s">
        <v>158</v>
      </c>
      <c r="C155" s="320">
        <v>22010000</v>
      </c>
      <c r="D155" s="311">
        <f>SUM(D150:D154)</f>
        <v>23355</v>
      </c>
      <c r="E155" s="311">
        <f aca="true" t="shared" si="47" ref="E155:W155">SUM(E150:E154)</f>
        <v>23355</v>
      </c>
      <c r="F155" s="311">
        <f t="shared" si="47"/>
        <v>6167</v>
      </c>
      <c r="G155" s="311">
        <f t="shared" si="47"/>
        <v>6692.19</v>
      </c>
      <c r="H155" s="311">
        <f t="shared" si="47"/>
        <v>525.1899999999996</v>
      </c>
      <c r="I155" s="189">
        <f>G155/F155</f>
        <v>1.085161342630128</v>
      </c>
      <c r="J155" s="311">
        <f t="shared" si="47"/>
        <v>-16662.81</v>
      </c>
      <c r="K155" s="189">
        <f>G155/E155</f>
        <v>0.28654206807964033</v>
      </c>
      <c r="L155" s="311">
        <f t="shared" si="47"/>
        <v>0</v>
      </c>
      <c r="M155" s="311">
        <f t="shared" si="47"/>
        <v>0</v>
      </c>
      <c r="N155" s="311">
        <f t="shared" si="47"/>
        <v>0</v>
      </c>
      <c r="O155" s="311">
        <f t="shared" si="47"/>
        <v>22090.14</v>
      </c>
      <c r="P155" s="311">
        <f t="shared" si="47"/>
        <v>1264.8600000000006</v>
      </c>
      <c r="Q155" s="189">
        <f>E155/O155</f>
        <v>1.0572590304995804</v>
      </c>
      <c r="R155" s="311">
        <f t="shared" si="47"/>
        <v>4025.0899999999997</v>
      </c>
      <c r="S155" s="311">
        <f t="shared" si="47"/>
        <v>2667.1</v>
      </c>
      <c r="T155" s="189">
        <f>G155/R155</f>
        <v>1.6626187240533752</v>
      </c>
      <c r="U155" s="311">
        <f t="shared" si="47"/>
        <v>1968</v>
      </c>
      <c r="V155" s="311">
        <f t="shared" si="47"/>
        <v>2431.189999999999</v>
      </c>
      <c r="W155" s="311">
        <f t="shared" si="47"/>
        <v>463.18999999999954</v>
      </c>
      <c r="X155" s="189">
        <f>V155/U155</f>
        <v>1.2353607723577231</v>
      </c>
      <c r="Y155" s="189">
        <f t="shared" si="42"/>
        <v>0.6053596935537948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12" t="s">
        <v>159</v>
      </c>
      <c r="D158" s="4"/>
      <c r="F158" s="78"/>
      <c r="G158" s="4"/>
      <c r="Y158" s="189"/>
    </row>
    <row r="159" spans="2:25" ht="15" hidden="1">
      <c r="B159" s="321" t="s">
        <v>13</v>
      </c>
      <c r="C159" s="294" t="s">
        <v>19</v>
      </c>
      <c r="D159" s="310">
        <f>D72</f>
        <v>8170</v>
      </c>
      <c r="E159" s="310">
        <f aca="true" t="shared" si="48" ref="E159:X159">E72</f>
        <v>8170</v>
      </c>
      <c r="F159" s="310">
        <f t="shared" si="48"/>
        <v>1928.65</v>
      </c>
      <c r="G159" s="310">
        <f t="shared" si="48"/>
        <v>1498.7</v>
      </c>
      <c r="H159" s="310">
        <f t="shared" si="48"/>
        <v>-429.95000000000005</v>
      </c>
      <c r="I159" s="309">
        <f t="shared" si="48"/>
        <v>0.7770720452129728</v>
      </c>
      <c r="J159" s="310">
        <f t="shared" si="48"/>
        <v>-6671.3</v>
      </c>
      <c r="K159" s="309">
        <f t="shared" si="48"/>
        <v>0.18343941248470014</v>
      </c>
      <c r="L159" s="310">
        <f t="shared" si="48"/>
        <v>0</v>
      </c>
      <c r="M159" s="310">
        <f t="shared" si="48"/>
        <v>0</v>
      </c>
      <c r="N159" s="310">
        <f t="shared" si="48"/>
        <v>0</v>
      </c>
      <c r="O159" s="310">
        <f t="shared" si="48"/>
        <v>8086.92</v>
      </c>
      <c r="P159" s="310">
        <f t="shared" si="48"/>
        <v>83.07999999999993</v>
      </c>
      <c r="Q159" s="309">
        <f t="shared" si="48"/>
        <v>1.0102733797292418</v>
      </c>
      <c r="R159" s="310">
        <f t="shared" si="48"/>
        <v>3075.73</v>
      </c>
      <c r="S159" s="310">
        <f t="shared" si="48"/>
        <v>-1577.03</v>
      </c>
      <c r="T159" s="309">
        <f t="shared" si="48"/>
        <v>0.48726643756116433</v>
      </c>
      <c r="U159" s="310">
        <f t="shared" si="48"/>
        <v>680</v>
      </c>
      <c r="V159" s="310">
        <f t="shared" si="48"/>
        <v>426.54999999999995</v>
      </c>
      <c r="W159" s="310">
        <f t="shared" si="48"/>
        <v>-253.45000000000005</v>
      </c>
      <c r="X159" s="309">
        <f t="shared" si="48"/>
        <v>0.6272794117647058</v>
      </c>
      <c r="Y159" s="189">
        <f t="shared" si="42"/>
        <v>-0.5230069421680774</v>
      </c>
    </row>
    <row r="160" spans="2:25" ht="46.5" hidden="1">
      <c r="B160" s="321" t="s">
        <v>38</v>
      </c>
      <c r="C160" s="294">
        <v>24061900</v>
      </c>
      <c r="D160" s="310">
        <f>D76</f>
        <v>174.4</v>
      </c>
      <c r="E160" s="310">
        <f aca="true" t="shared" si="49" ref="E160:X160">E76</f>
        <v>174.4</v>
      </c>
      <c r="F160" s="310">
        <f t="shared" si="49"/>
        <v>0</v>
      </c>
      <c r="G160" s="310">
        <f t="shared" si="49"/>
        <v>0</v>
      </c>
      <c r="H160" s="310">
        <f t="shared" si="49"/>
        <v>0</v>
      </c>
      <c r="I160" s="309" t="e">
        <f t="shared" si="49"/>
        <v>#DIV/0!</v>
      </c>
      <c r="J160" s="310">
        <f t="shared" si="49"/>
        <v>-174.4</v>
      </c>
      <c r="K160" s="309">
        <f t="shared" si="49"/>
        <v>0</v>
      </c>
      <c r="L160" s="310">
        <f t="shared" si="49"/>
        <v>0</v>
      </c>
      <c r="M160" s="310">
        <f t="shared" si="49"/>
        <v>0</v>
      </c>
      <c r="N160" s="310">
        <f t="shared" si="49"/>
        <v>0</v>
      </c>
      <c r="O160" s="310">
        <f t="shared" si="49"/>
        <v>142.18</v>
      </c>
      <c r="P160" s="310">
        <f t="shared" si="49"/>
        <v>32.22</v>
      </c>
      <c r="Q160" s="309">
        <f t="shared" si="49"/>
        <v>1.2266141510761006</v>
      </c>
      <c r="R160" s="310">
        <f t="shared" si="49"/>
        <v>32.89</v>
      </c>
      <c r="S160" s="310">
        <f t="shared" si="49"/>
        <v>-32.89</v>
      </c>
      <c r="T160" s="309">
        <f t="shared" si="49"/>
        <v>0</v>
      </c>
      <c r="U160" s="310">
        <f t="shared" si="49"/>
        <v>0</v>
      </c>
      <c r="V160" s="310">
        <f t="shared" si="49"/>
        <v>0</v>
      </c>
      <c r="W160" s="310">
        <f t="shared" si="49"/>
        <v>0</v>
      </c>
      <c r="X160" s="309" t="e">
        <f t="shared" si="49"/>
        <v>#DIV/0!</v>
      </c>
      <c r="Y160" s="189">
        <f t="shared" si="42"/>
        <v>-1.2266141510761006</v>
      </c>
    </row>
    <row r="161" spans="2:25" ht="15" hidden="1">
      <c r="B161" s="312" t="s">
        <v>159</v>
      </c>
      <c r="C161" s="322">
        <v>24060000</v>
      </c>
      <c r="D161" s="311">
        <f>SUM(D159:D160)</f>
        <v>8344.4</v>
      </c>
      <c r="E161" s="311">
        <f aca="true" t="shared" si="50" ref="E161:W161">SUM(E159:E160)</f>
        <v>8344.4</v>
      </c>
      <c r="F161" s="311">
        <f t="shared" si="50"/>
        <v>1928.65</v>
      </c>
      <c r="G161" s="311">
        <f t="shared" si="50"/>
        <v>1498.7</v>
      </c>
      <c r="H161" s="311">
        <f t="shared" si="50"/>
        <v>-429.95000000000005</v>
      </c>
      <c r="I161" s="189">
        <f>G161/F161</f>
        <v>0.7770720452129728</v>
      </c>
      <c r="J161" s="311">
        <f t="shared" si="50"/>
        <v>-6845.7</v>
      </c>
      <c r="K161" s="189">
        <f>G161/E161</f>
        <v>0.17960548391735776</v>
      </c>
      <c r="L161" s="311">
        <f t="shared" si="50"/>
        <v>0</v>
      </c>
      <c r="M161" s="311">
        <f t="shared" si="50"/>
        <v>0</v>
      </c>
      <c r="N161" s="311">
        <f t="shared" si="50"/>
        <v>0</v>
      </c>
      <c r="O161" s="311">
        <f t="shared" si="50"/>
        <v>8229.1</v>
      </c>
      <c r="P161" s="311">
        <f t="shared" si="50"/>
        <v>115.29999999999993</v>
      </c>
      <c r="Q161" s="189">
        <f>E161/O161</f>
        <v>1.0140112527493892</v>
      </c>
      <c r="R161" s="311">
        <f t="shared" si="50"/>
        <v>3108.62</v>
      </c>
      <c r="S161" s="311">
        <f t="shared" si="50"/>
        <v>-1609.92</v>
      </c>
      <c r="T161" s="189">
        <f>G161/R161</f>
        <v>0.482111033191577</v>
      </c>
      <c r="U161" s="311">
        <f t="shared" si="50"/>
        <v>680</v>
      </c>
      <c r="V161" s="311">
        <f t="shared" si="50"/>
        <v>426.54999999999995</v>
      </c>
      <c r="W161" s="311">
        <f t="shared" si="50"/>
        <v>-253.45000000000005</v>
      </c>
      <c r="X161" s="189">
        <f>V161/U161</f>
        <v>0.6272794117647058</v>
      </c>
      <c r="Y161" s="189">
        <f t="shared" si="42"/>
        <v>-0.5319002195578122</v>
      </c>
    </row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</sheetData>
  <sheetProtection/>
  <mergeCells count="30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B111:C111"/>
    <mergeCell ref="G111:H111"/>
    <mergeCell ref="G106:H106"/>
    <mergeCell ref="G107:H107"/>
    <mergeCell ref="G108:H108"/>
    <mergeCell ref="B109:C109"/>
    <mergeCell ref="G109:H109"/>
    <mergeCell ref="G110:H110"/>
  </mergeCells>
  <printOptions/>
  <pageMargins left="0" right="0" top="0" bottom="0" header="0" footer="0"/>
  <pageSetup fitToHeight="1" fitToWidth="1"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61"/>
  <sheetViews>
    <sheetView zoomScale="78" zoomScaleNormal="78" zoomScalePageLayoutView="0" workbookViewId="0" topLeftCell="B1">
      <pane xSplit="2" ySplit="8" topLeftCell="D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Z76" sqref="Z7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hidden="1" customWidth="1"/>
    <col min="11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2.75390625" style="4" hidden="1" customWidth="1"/>
    <col min="25" max="25" width="12.50390625" style="186" hidden="1" customWidth="1"/>
    <col min="26" max="16384" width="9.125" style="4" customWidth="1"/>
  </cols>
  <sheetData>
    <row r="1" spans="1:25" s="1" customFormat="1" ht="26.25" customHeight="1">
      <c r="A1" s="356" t="s">
        <v>171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186"/>
    </row>
    <row r="2" spans="2:25" s="1" customFormat="1" ht="15.75" customHeight="1">
      <c r="B2" s="357"/>
      <c r="C2" s="357"/>
      <c r="D2" s="357"/>
      <c r="E2" s="357"/>
      <c r="F2" s="245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58"/>
      <c r="B3" s="360"/>
      <c r="C3" s="361" t="s">
        <v>0</v>
      </c>
      <c r="D3" s="362" t="s">
        <v>131</v>
      </c>
      <c r="E3" s="362" t="s">
        <v>131</v>
      </c>
      <c r="F3" s="25"/>
      <c r="G3" s="363" t="s">
        <v>26</v>
      </c>
      <c r="H3" s="364"/>
      <c r="I3" s="364"/>
      <c r="J3" s="364"/>
      <c r="K3" s="365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66" t="s">
        <v>141</v>
      </c>
      <c r="V3" s="369" t="s">
        <v>136</v>
      </c>
      <c r="W3" s="369"/>
      <c r="X3" s="369"/>
      <c r="Y3" s="194"/>
    </row>
    <row r="4" spans="1:24" ht="22.5" customHeight="1">
      <c r="A4" s="358"/>
      <c r="B4" s="360"/>
      <c r="C4" s="361"/>
      <c r="D4" s="362"/>
      <c r="E4" s="362"/>
      <c r="F4" s="370" t="s">
        <v>139</v>
      </c>
      <c r="G4" s="372" t="s">
        <v>31</v>
      </c>
      <c r="H4" s="374" t="s">
        <v>129</v>
      </c>
      <c r="I4" s="367" t="s">
        <v>130</v>
      </c>
      <c r="J4" s="374" t="s">
        <v>132</v>
      </c>
      <c r="K4" s="367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367"/>
      <c r="V4" s="376" t="s">
        <v>172</v>
      </c>
      <c r="W4" s="374" t="s">
        <v>44</v>
      </c>
      <c r="X4" s="378" t="s">
        <v>43</v>
      </c>
    </row>
    <row r="5" spans="1:24" ht="67.5" customHeight="1">
      <c r="A5" s="359"/>
      <c r="B5" s="360"/>
      <c r="C5" s="361"/>
      <c r="D5" s="362"/>
      <c r="E5" s="362"/>
      <c r="F5" s="371"/>
      <c r="G5" s="373"/>
      <c r="H5" s="375"/>
      <c r="I5" s="368"/>
      <c r="J5" s="375"/>
      <c r="K5" s="368"/>
      <c r="L5" s="379" t="s">
        <v>135</v>
      </c>
      <c r="M5" s="380"/>
      <c r="N5" s="381"/>
      <c r="O5" s="382" t="s">
        <v>168</v>
      </c>
      <c r="P5" s="383"/>
      <c r="Q5" s="384"/>
      <c r="R5" s="385" t="s">
        <v>167</v>
      </c>
      <c r="S5" s="385"/>
      <c r="T5" s="385"/>
      <c r="U5" s="368"/>
      <c r="V5" s="377"/>
      <c r="W5" s="375"/>
      <c r="X5" s="37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241761.439</v>
      </c>
      <c r="G8" s="103">
        <f>G9+G15+G18+G19+G23+G17</f>
        <v>241891.91999999998</v>
      </c>
      <c r="H8" s="103">
        <f>G8-F8</f>
        <v>130.48099999997066</v>
      </c>
      <c r="I8" s="210">
        <f aca="true" t="shared" si="0" ref="I8:I15">G8/F8</f>
        <v>1.0005397097259996</v>
      </c>
      <c r="J8" s="104">
        <f aca="true" t="shared" si="1" ref="J8:J52">G8-E8</f>
        <v>-1338741.8800000001</v>
      </c>
      <c r="K8" s="156">
        <f aca="true" t="shared" si="2" ref="K8:K14">G8/E8</f>
        <v>0.1530347636498726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194831.46</v>
      </c>
      <c r="S8" s="103">
        <f aca="true" t="shared" si="5" ref="S8:S78">G8-R8</f>
        <v>47060.45999999999</v>
      </c>
      <c r="T8" s="143">
        <f aca="true" t="shared" si="6" ref="T8:T20">G8/R8</f>
        <v>1.2415444610434063</v>
      </c>
      <c r="U8" s="103">
        <f>U9+U15+U18+U19+U23+U17</f>
        <v>129734.42000000001</v>
      </c>
      <c r="V8" s="103">
        <f>V9+V15+V18+V19+V23+V17</f>
        <v>129864.91</v>
      </c>
      <c r="W8" s="103">
        <f>V8-U8</f>
        <v>130.4899999999907</v>
      </c>
      <c r="X8" s="143">
        <f aca="true" t="shared" si="7" ref="X8:X15">V8/U8</f>
        <v>1.0010058240519362</v>
      </c>
      <c r="Y8" s="199">
        <f aca="true" t="shared" si="8" ref="Y8:Y22">T8-Q8</f>
        <v>0.05272804951227528</v>
      </c>
    </row>
    <row r="9" spans="1:25" s="6" customFormat="1" ht="18">
      <c r="A9" s="8"/>
      <c r="B9" s="88" t="s">
        <v>66</v>
      </c>
      <c r="C9" s="34">
        <v>11010000</v>
      </c>
      <c r="D9" s="232">
        <v>956203</v>
      </c>
      <c r="E9" s="102">
        <v>956203</v>
      </c>
      <c r="F9" s="102">
        <f>131692.339+7300</f>
        <v>138992.339</v>
      </c>
      <c r="G9" s="106">
        <v>140078.87</v>
      </c>
      <c r="H9" s="102">
        <f>G9-F9</f>
        <v>1086.5309999999881</v>
      </c>
      <c r="I9" s="208">
        <f t="shared" si="0"/>
        <v>1.0078172006300288</v>
      </c>
      <c r="J9" s="108">
        <f t="shared" si="1"/>
        <v>-816124.13</v>
      </c>
      <c r="K9" s="148">
        <f t="shared" si="2"/>
        <v>0.1464949074621184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101885.94</v>
      </c>
      <c r="S9" s="109">
        <f t="shared" si="5"/>
        <v>38192.92999999999</v>
      </c>
      <c r="T9" s="144">
        <f t="shared" si="6"/>
        <v>1.3748596715111034</v>
      </c>
      <c r="U9" s="107">
        <f>F9-січень!F9</f>
        <v>75163</v>
      </c>
      <c r="V9" s="110">
        <f>G9-січень!G9</f>
        <v>76249.57999999999</v>
      </c>
      <c r="W9" s="111">
        <f>V9-U9</f>
        <v>1086.5799999999872</v>
      </c>
      <c r="X9" s="148">
        <f t="shared" si="7"/>
        <v>1.0144563149421921</v>
      </c>
      <c r="Y9" s="200">
        <f t="shared" si="8"/>
        <v>0.14235627962394592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f>881803</f>
        <v>881803</v>
      </c>
      <c r="F10" s="71">
        <f>120478.7+7300</f>
        <v>127778.7</v>
      </c>
      <c r="G10" s="94">
        <v>127789.45</v>
      </c>
      <c r="H10" s="71">
        <f aca="true" t="shared" si="9" ref="H10:H47">G10-F10</f>
        <v>10.75</v>
      </c>
      <c r="I10" s="209">
        <f t="shared" si="0"/>
        <v>1.0000841298275847</v>
      </c>
      <c r="J10" s="72">
        <f t="shared" si="1"/>
        <v>-754013.55</v>
      </c>
      <c r="K10" s="75">
        <f t="shared" si="2"/>
        <v>0.1449183661203239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92726.64</v>
      </c>
      <c r="S10" s="74">
        <f t="shared" si="5"/>
        <v>35062.81</v>
      </c>
      <c r="T10" s="145">
        <f t="shared" si="6"/>
        <v>1.3781309233247316</v>
      </c>
      <c r="U10" s="73">
        <f>F10-січень!F10</f>
        <v>68800</v>
      </c>
      <c r="V10" s="98">
        <f>G10-січень!G10</f>
        <v>68810.76</v>
      </c>
      <c r="W10" s="74">
        <f aca="true" t="shared" si="10" ref="W10:W52">V10-U10</f>
        <v>10.759999999994761</v>
      </c>
      <c r="X10" s="75">
        <f t="shared" si="7"/>
        <v>1.000156395348837</v>
      </c>
      <c r="Y10" s="198">
        <f t="shared" si="8"/>
        <v>0.13597947870174076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7084.7</v>
      </c>
      <c r="G11" s="94">
        <v>7687.4</v>
      </c>
      <c r="H11" s="71">
        <f t="shared" si="9"/>
        <v>602.6999999999998</v>
      </c>
      <c r="I11" s="209">
        <f t="shared" si="0"/>
        <v>1.0850706451931627</v>
      </c>
      <c r="J11" s="72">
        <f t="shared" si="1"/>
        <v>-42212.6</v>
      </c>
      <c r="K11" s="75">
        <f t="shared" si="2"/>
        <v>0.1540561122244489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5895.26</v>
      </c>
      <c r="S11" s="74">
        <f t="shared" si="5"/>
        <v>1792.1399999999994</v>
      </c>
      <c r="T11" s="145">
        <f t="shared" si="6"/>
        <v>1.3039967702866369</v>
      </c>
      <c r="U11" s="73">
        <f>F11-січень!F11</f>
        <v>3600</v>
      </c>
      <c r="V11" s="98">
        <f>G11-січень!G11</f>
        <v>4202.7</v>
      </c>
      <c r="W11" s="74">
        <f t="shared" si="10"/>
        <v>602.6999999999998</v>
      </c>
      <c r="X11" s="75">
        <f t="shared" si="7"/>
        <v>1.1674166666666665</v>
      </c>
      <c r="Y11" s="198">
        <f t="shared" si="8"/>
        <v>0.13033229579314143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1464.409</v>
      </c>
      <c r="G12" s="94">
        <v>1592.92</v>
      </c>
      <c r="H12" s="71">
        <f t="shared" si="9"/>
        <v>128.51099999999997</v>
      </c>
      <c r="I12" s="209">
        <f t="shared" si="0"/>
        <v>1.087756221110359</v>
      </c>
      <c r="J12" s="72">
        <f t="shared" si="1"/>
        <v>-10407.08</v>
      </c>
      <c r="K12" s="75">
        <f t="shared" si="2"/>
        <v>0.13274333333333335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1037.42</v>
      </c>
      <c r="S12" s="74">
        <f t="shared" si="5"/>
        <v>555.5</v>
      </c>
      <c r="T12" s="145">
        <f t="shared" si="6"/>
        <v>1.5354629754583486</v>
      </c>
      <c r="U12" s="73">
        <f>F12-січень!F12</f>
        <v>720.0000000000001</v>
      </c>
      <c r="V12" s="98">
        <f>G12-січень!G12</f>
        <v>848.5300000000001</v>
      </c>
      <c r="W12" s="74">
        <f t="shared" si="10"/>
        <v>128.52999999999997</v>
      </c>
      <c r="X12" s="75">
        <f t="shared" si="7"/>
        <v>1.1785138888888889</v>
      </c>
      <c r="Y12" s="198">
        <f t="shared" si="8"/>
        <v>0.5348083805775308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2485.9</v>
      </c>
      <c r="G13" s="94">
        <v>2701.47</v>
      </c>
      <c r="H13" s="71">
        <f t="shared" si="9"/>
        <v>215.5699999999997</v>
      </c>
      <c r="I13" s="209">
        <f t="shared" si="0"/>
        <v>1.0867170843557663</v>
      </c>
      <c r="J13" s="72">
        <f t="shared" si="1"/>
        <v>-9298.53</v>
      </c>
      <c r="K13" s="75">
        <f t="shared" si="2"/>
        <v>0.22512249999999998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2028.32</v>
      </c>
      <c r="S13" s="74">
        <f t="shared" si="5"/>
        <v>673.1499999999999</v>
      </c>
      <c r="T13" s="145">
        <f t="shared" si="6"/>
        <v>1.331875640924509</v>
      </c>
      <c r="U13" s="73">
        <f>F13-січень!F13</f>
        <v>2010</v>
      </c>
      <c r="V13" s="98">
        <f>G13-січень!G13</f>
        <v>2225.6</v>
      </c>
      <c r="W13" s="74">
        <f t="shared" si="10"/>
        <v>215.5999999999999</v>
      </c>
      <c r="X13" s="75">
        <f t="shared" si="7"/>
        <v>1.1072636815920398</v>
      </c>
      <c r="Y13" s="198">
        <f t="shared" si="8"/>
        <v>0.13627664084380586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178.63</v>
      </c>
      <c r="G14" s="94">
        <v>307.62</v>
      </c>
      <c r="H14" s="71">
        <f t="shared" si="9"/>
        <v>128.99</v>
      </c>
      <c r="I14" s="209">
        <f t="shared" si="0"/>
        <v>1.7221071488551756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198.31</v>
      </c>
      <c r="S14" s="74">
        <f t="shared" si="5"/>
        <v>109.31</v>
      </c>
      <c r="T14" s="145">
        <f t="shared" si="6"/>
        <v>1.551207705108164</v>
      </c>
      <c r="U14" s="73">
        <f>F14-січень!F14</f>
        <v>33</v>
      </c>
      <c r="V14" s="98">
        <f>G14-січень!G14</f>
        <v>161.99</v>
      </c>
      <c r="W14" s="74">
        <f t="shared" si="10"/>
        <v>128.99</v>
      </c>
      <c r="X14" s="75">
        <f t="shared" si="7"/>
        <v>4.908787878787879</v>
      </c>
      <c r="Y14" s="198">
        <f t="shared" si="8"/>
        <v>1.1880150968041283</v>
      </c>
    </row>
    <row r="15" spans="1:25" s="6" customFormat="1" ht="30.75">
      <c r="A15" s="8"/>
      <c r="B15" s="89" t="s">
        <v>11</v>
      </c>
      <c r="C15" s="34">
        <v>11020200</v>
      </c>
      <c r="D15" s="232">
        <v>900</v>
      </c>
      <c r="E15" s="102">
        <v>900</v>
      </c>
      <c r="F15" s="102">
        <v>10</v>
      </c>
      <c r="G15" s="106">
        <v>119.53</v>
      </c>
      <c r="H15" s="102">
        <f t="shared" si="9"/>
        <v>109.53</v>
      </c>
      <c r="I15" s="208">
        <f t="shared" si="0"/>
        <v>11.953</v>
      </c>
      <c r="J15" s="108">
        <f t="shared" si="1"/>
        <v>-780.47</v>
      </c>
      <c r="K15" s="108">
        <f aca="true" t="shared" si="11" ref="K15:K23">G15/E15*100</f>
        <v>13.28111111111111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13.91</v>
      </c>
      <c r="S15" s="111">
        <f t="shared" si="5"/>
        <v>105.62</v>
      </c>
      <c r="T15" s="146">
        <f t="shared" si="6"/>
        <v>8.593098490294752</v>
      </c>
      <c r="U15" s="107">
        <f>F15-січень!F15</f>
        <v>10</v>
      </c>
      <c r="V15" s="110">
        <f>G15-січень!G15</f>
        <v>119.53</v>
      </c>
      <c r="W15" s="111">
        <f t="shared" si="10"/>
        <v>109.53</v>
      </c>
      <c r="X15" s="148">
        <f t="shared" si="7"/>
        <v>11.953</v>
      </c>
      <c r="Y15" s="197">
        <f t="shared" si="8"/>
        <v>7.579139657023383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29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F16-січень!F16</f>
        <v>0</v>
      </c>
      <c r="V16" s="110">
        <f>G16-січень!G16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2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F17-січень!F17</f>
        <v>0</v>
      </c>
      <c r="V17" s="110">
        <f>G17-січень!G17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2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194.24</v>
      </c>
      <c r="T18" s="146" t="e">
        <f t="shared" si="6"/>
        <v>#DIV/0!</v>
      </c>
      <c r="U18" s="107">
        <f>F18-січень!F18</f>
        <v>120</v>
      </c>
      <c r="V18" s="110">
        <f>G18-січень!G18</f>
        <v>194.24</v>
      </c>
      <c r="W18" s="111">
        <f t="shared" si="10"/>
        <v>74.24000000000001</v>
      </c>
      <c r="X18" s="148">
        <f aca="true" t="shared" si="13" ref="X18:X25">V18/U18</f>
        <v>1.6186666666666667</v>
      </c>
      <c r="Y18" s="197" t="e">
        <f t="shared" si="8"/>
        <v>#DIV/0!</v>
      </c>
    </row>
    <row r="19" spans="1:25" s="6" customFormat="1" ht="18">
      <c r="A19" s="8"/>
      <c r="B19" s="88" t="s">
        <v>102</v>
      </c>
      <c r="C19" s="34"/>
      <c r="D19" s="232">
        <f>D20+D21+D22</f>
        <v>151728</v>
      </c>
      <c r="E19" s="102">
        <f>E20+E21+E22</f>
        <v>151728</v>
      </c>
      <c r="F19" s="102">
        <f>F20+F21+F22</f>
        <v>9066</v>
      </c>
      <c r="G19" s="158">
        <v>8528.57</v>
      </c>
      <c r="H19" s="102">
        <f t="shared" si="9"/>
        <v>-537.4300000000003</v>
      </c>
      <c r="I19" s="208">
        <f t="shared" si="12"/>
        <v>0.9407202735495257</v>
      </c>
      <c r="J19" s="108">
        <f t="shared" si="1"/>
        <v>-143199.43</v>
      </c>
      <c r="K19" s="108">
        <f t="shared" si="11"/>
        <v>5.620959875566803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13705.91</v>
      </c>
      <c r="S19" s="111">
        <f t="shared" si="5"/>
        <v>-5177.34</v>
      </c>
      <c r="T19" s="146">
        <f t="shared" si="6"/>
        <v>0.6222549250651725</v>
      </c>
      <c r="U19" s="107">
        <f>F19-січень!F19</f>
        <v>4076.42</v>
      </c>
      <c r="V19" s="110">
        <f>G19-січень!G19</f>
        <v>3538.99</v>
      </c>
      <c r="W19" s="111">
        <f t="shared" si="10"/>
        <v>-537.4300000000003</v>
      </c>
      <c r="X19" s="148">
        <f t="shared" si="13"/>
        <v>0.868161278769116</v>
      </c>
      <c r="Y19" s="197">
        <f t="shared" si="8"/>
        <v>-0.621925688421618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9066</v>
      </c>
      <c r="G20" s="141">
        <v>8528.57</v>
      </c>
      <c r="H20" s="170">
        <f t="shared" si="9"/>
        <v>-537.4300000000003</v>
      </c>
      <c r="I20" s="211">
        <f t="shared" si="12"/>
        <v>0.9407202735495257</v>
      </c>
      <c r="J20" s="171">
        <f t="shared" si="1"/>
        <v>-58179.43</v>
      </c>
      <c r="K20" s="171">
        <f t="shared" si="11"/>
        <v>12.784928344426454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13705.91</v>
      </c>
      <c r="S20" s="116">
        <f t="shared" si="5"/>
        <v>-5177.34</v>
      </c>
      <c r="T20" s="172">
        <f t="shared" si="6"/>
        <v>0.6222549250651725</v>
      </c>
      <c r="U20" s="136">
        <f>F20-січень!F20</f>
        <v>4076.42</v>
      </c>
      <c r="V20" s="124">
        <f>G20-січень!G20</f>
        <v>3538.99</v>
      </c>
      <c r="W20" s="116">
        <f t="shared" si="10"/>
        <v>-537.4300000000003</v>
      </c>
      <c r="X20" s="180">
        <f t="shared" si="13"/>
        <v>0.868161278769116</v>
      </c>
      <c r="Y20" s="197">
        <f t="shared" si="8"/>
        <v>-0.47606412387496144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2"/>
        <v>#DIV/0!</v>
      </c>
      <c r="J21" s="171">
        <f t="shared" si="1"/>
        <v>-15696</v>
      </c>
      <c r="K21" s="171">
        <f t="shared" si="11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>F21-січень!F21</f>
        <v>0</v>
      </c>
      <c r="V21" s="124">
        <f>G21-січень!G21</f>
        <v>0</v>
      </c>
      <c r="W21" s="116">
        <f t="shared" si="10"/>
        <v>0</v>
      </c>
      <c r="X21" s="180" t="e">
        <f t="shared" si="13"/>
        <v>#DIV/0!</v>
      </c>
      <c r="Y21" s="197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2"/>
        <v>#DIV/0!</v>
      </c>
      <c r="J22" s="171">
        <f t="shared" si="1"/>
        <v>-69324</v>
      </c>
      <c r="K22" s="171">
        <f t="shared" si="11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>F22-січень!F22</f>
        <v>0</v>
      </c>
      <c r="V22" s="124">
        <f>G22-січень!G22</f>
        <v>0</v>
      </c>
      <c r="W22" s="116">
        <f t="shared" si="10"/>
        <v>0</v>
      </c>
      <c r="X22" s="180" t="e">
        <f t="shared" si="13"/>
        <v>#DIV/0!</v>
      </c>
      <c r="Y22" s="197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93573.1</v>
      </c>
      <c r="G23" s="158">
        <v>92970.71</v>
      </c>
      <c r="H23" s="102">
        <f t="shared" si="9"/>
        <v>-602.3899999999994</v>
      </c>
      <c r="I23" s="208">
        <f t="shared" si="12"/>
        <v>0.993562359267781</v>
      </c>
      <c r="J23" s="108">
        <f t="shared" si="1"/>
        <v>-378596.48999999993</v>
      </c>
      <c r="K23" s="108">
        <f t="shared" si="11"/>
        <v>19.71526221501411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79107.24</v>
      </c>
      <c r="S23" s="111">
        <f t="shared" si="5"/>
        <v>13863.470000000001</v>
      </c>
      <c r="T23" s="147">
        <f aca="true" t="shared" si="14" ref="T23:T41">G23/R23</f>
        <v>1.175249066962771</v>
      </c>
      <c r="U23" s="107">
        <f>F23-січень!F23</f>
        <v>50365.00000000001</v>
      </c>
      <c r="V23" s="110">
        <f>G23-січень!G23</f>
        <v>49762.57000000001</v>
      </c>
      <c r="W23" s="111">
        <f t="shared" si="10"/>
        <v>-602.4300000000003</v>
      </c>
      <c r="X23" s="148">
        <f t="shared" si="13"/>
        <v>0.9880387173632483</v>
      </c>
      <c r="Y23" s="197">
        <f>T23-Q23</f>
        <v>0.08037751319807573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33692.51</v>
      </c>
      <c r="G24" s="158">
        <f>G25+G32+G35</f>
        <v>32908.020000000004</v>
      </c>
      <c r="H24" s="102">
        <f t="shared" si="9"/>
        <v>-784.489999999998</v>
      </c>
      <c r="I24" s="208">
        <f t="shared" si="12"/>
        <v>0.9767161900374891</v>
      </c>
      <c r="J24" s="108">
        <f t="shared" si="1"/>
        <v>-183933.97999999998</v>
      </c>
      <c r="K24" s="148">
        <f aca="true" t="shared" si="15" ref="K24:K41">G24/E24</f>
        <v>0.1517603600778447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31455.05</v>
      </c>
      <c r="S24" s="111">
        <f t="shared" si="5"/>
        <v>1452.9700000000048</v>
      </c>
      <c r="T24" s="147">
        <f t="shared" si="14"/>
        <v>1.0461919469210827</v>
      </c>
      <c r="U24" s="107">
        <f>F24-січень!F24</f>
        <v>15541.000000000004</v>
      </c>
      <c r="V24" s="110">
        <f>G24-січень!G24</f>
        <v>14755.600000000006</v>
      </c>
      <c r="W24" s="111">
        <f t="shared" si="10"/>
        <v>-785.3999999999978</v>
      </c>
      <c r="X24" s="148">
        <f t="shared" si="13"/>
        <v>0.9494627115372243</v>
      </c>
      <c r="Y24" s="197">
        <f aca="true" t="shared" si="16" ref="Y24:Y99">T24-Q24</f>
        <v>-0.0001860979112959793</v>
      </c>
      <c r="AB24" s="227"/>
    </row>
    <row r="25" spans="1:26" s="6" customFormat="1" ht="18">
      <c r="A25" s="8"/>
      <c r="B25" s="41" t="s">
        <v>61</v>
      </c>
      <c r="C25" s="84"/>
      <c r="D25" s="229">
        <f>D26+D27</f>
        <v>28784</v>
      </c>
      <c r="E25" s="170">
        <f>E26+E27</f>
        <v>28784</v>
      </c>
      <c r="F25" s="202">
        <f>F26+F27</f>
        <v>5421</v>
      </c>
      <c r="G25" s="141">
        <v>5552.52</v>
      </c>
      <c r="H25" s="170">
        <f t="shared" si="9"/>
        <v>131.52000000000044</v>
      </c>
      <c r="I25" s="211">
        <f t="shared" si="12"/>
        <v>1.0242612064194798</v>
      </c>
      <c r="J25" s="171">
        <f t="shared" si="1"/>
        <v>-23231.48</v>
      </c>
      <c r="K25" s="180">
        <f t="shared" si="15"/>
        <v>0.1929030016675931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4408.21</v>
      </c>
      <c r="S25" s="116">
        <f t="shared" si="5"/>
        <v>1144.3100000000004</v>
      </c>
      <c r="T25" s="152">
        <f t="shared" si="14"/>
        <v>1.2595860904993184</v>
      </c>
      <c r="U25" s="107">
        <f>F25-січень!F25</f>
        <v>780</v>
      </c>
      <c r="V25" s="110">
        <f>G25-січень!G25</f>
        <v>910.6300000000001</v>
      </c>
      <c r="W25" s="116">
        <f t="shared" si="10"/>
        <v>130.6300000000001</v>
      </c>
      <c r="X25" s="180">
        <f t="shared" si="13"/>
        <v>1.167474358974359</v>
      </c>
      <c r="Y25" s="197">
        <f t="shared" si="16"/>
        <v>0.12698914454477972</v>
      </c>
      <c r="Z25" s="101"/>
    </row>
    <row r="26" spans="1:26" s="6" customFormat="1" ht="18" customHeight="1" hidden="1">
      <c r="A26" s="8"/>
      <c r="B26" s="137" t="s">
        <v>92</v>
      </c>
      <c r="C26" s="138"/>
      <c r="D26" s="233">
        <f>D28+D29</f>
        <v>1522</v>
      </c>
      <c r="E26" s="139">
        <f>E28+E29</f>
        <v>1522</v>
      </c>
      <c r="F26" s="139">
        <f>F28+F29</f>
        <v>195.11</v>
      </c>
      <c r="G26" s="139">
        <f>G28+G29</f>
        <v>313.35</v>
      </c>
      <c r="H26" s="158">
        <f t="shared" si="9"/>
        <v>118.24000000000001</v>
      </c>
      <c r="I26" s="212">
        <f t="shared" si="12"/>
        <v>1.606017118548511</v>
      </c>
      <c r="J26" s="176">
        <f t="shared" si="1"/>
        <v>-1208.65</v>
      </c>
      <c r="K26" s="191">
        <f t="shared" si="15"/>
        <v>0.205880420499343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150.23</v>
      </c>
      <c r="S26" s="201">
        <f t="shared" si="5"/>
        <v>163.12000000000003</v>
      </c>
      <c r="T26" s="162">
        <f t="shared" si="14"/>
        <v>2.0858017706183856</v>
      </c>
      <c r="U26" s="167">
        <f>F26-січень!F26</f>
        <v>40</v>
      </c>
      <c r="V26" s="167">
        <f>G26-січень!G26</f>
        <v>158.24</v>
      </c>
      <c r="W26" s="176">
        <f t="shared" si="10"/>
        <v>118.24000000000001</v>
      </c>
      <c r="X26" s="191">
        <f aca="true" t="shared" si="17" ref="X26:X35">V26/U26</f>
        <v>3.9560000000000004</v>
      </c>
      <c r="Y26" s="197">
        <f t="shared" si="16"/>
        <v>1.0797801827964026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3">
        <f>D30+D31</f>
        <v>27262</v>
      </c>
      <c r="E27" s="139">
        <f>E30+E31</f>
        <v>27262</v>
      </c>
      <c r="F27" s="139">
        <f>F30+F31</f>
        <v>5225.89</v>
      </c>
      <c r="G27" s="139">
        <f>G30+G31</f>
        <v>5239.169999999999</v>
      </c>
      <c r="H27" s="158">
        <f t="shared" si="9"/>
        <v>13.279999999998836</v>
      </c>
      <c r="I27" s="212">
        <f t="shared" si="12"/>
        <v>1.0025411939401707</v>
      </c>
      <c r="J27" s="176">
        <f t="shared" si="1"/>
        <v>-22022.83</v>
      </c>
      <c r="K27" s="191">
        <f t="shared" si="15"/>
        <v>0.19217849020614772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4257.9800000000005</v>
      </c>
      <c r="S27" s="201">
        <f t="shared" si="5"/>
        <v>981.1899999999987</v>
      </c>
      <c r="T27" s="162">
        <f t="shared" si="14"/>
        <v>1.2304355586451787</v>
      </c>
      <c r="U27" s="167">
        <f>F27-січень!F27</f>
        <v>740</v>
      </c>
      <c r="V27" s="167">
        <f>G27-січень!G27</f>
        <v>752.3799999999992</v>
      </c>
      <c r="W27" s="176">
        <f t="shared" si="10"/>
        <v>12.3799999999992</v>
      </c>
      <c r="X27" s="191">
        <f t="shared" si="17"/>
        <v>1.0167297297297286</v>
      </c>
      <c r="Y27" s="197">
        <f t="shared" si="16"/>
        <v>0.08982718955364888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18">
        <v>316</v>
      </c>
      <c r="F28" s="219">
        <v>59.3</v>
      </c>
      <c r="G28" s="206">
        <v>74.16</v>
      </c>
      <c r="H28" s="218">
        <f t="shared" si="9"/>
        <v>14.86</v>
      </c>
      <c r="I28" s="220">
        <f t="shared" si="12"/>
        <v>1.2505902192242833</v>
      </c>
      <c r="J28" s="221">
        <f t="shared" si="1"/>
        <v>-241.84</v>
      </c>
      <c r="K28" s="222">
        <f t="shared" si="15"/>
        <v>0.23468354430379745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128.97</v>
      </c>
      <c r="S28" s="221">
        <f t="shared" si="5"/>
        <v>-54.81</v>
      </c>
      <c r="T28" s="222">
        <f t="shared" si="14"/>
        <v>0.5750174459176552</v>
      </c>
      <c r="U28" s="206">
        <f>F28-січень!F28</f>
        <v>29.999999999999996</v>
      </c>
      <c r="V28" s="206">
        <f>G28-січень!G28</f>
        <v>44.86</v>
      </c>
      <c r="W28" s="221">
        <f t="shared" si="10"/>
        <v>14.860000000000003</v>
      </c>
      <c r="X28" s="222">
        <f t="shared" si="17"/>
        <v>1.4953333333333334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18">
        <v>1206</v>
      </c>
      <c r="F29" s="219">
        <v>135.81</v>
      </c>
      <c r="G29" s="206">
        <v>239.19</v>
      </c>
      <c r="H29" s="218">
        <f t="shared" si="9"/>
        <v>103.38</v>
      </c>
      <c r="I29" s="220">
        <f t="shared" si="12"/>
        <v>1.76121051468964</v>
      </c>
      <c r="J29" s="221">
        <f t="shared" si="1"/>
        <v>-966.81</v>
      </c>
      <c r="K29" s="222">
        <f t="shared" si="15"/>
        <v>0.19833333333333333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21.26</v>
      </c>
      <c r="S29" s="221">
        <f t="shared" si="5"/>
        <v>217.93</v>
      </c>
      <c r="T29" s="222">
        <f t="shared" si="14"/>
        <v>11.250705550329256</v>
      </c>
      <c r="U29" s="206">
        <f>F29-січень!F29</f>
        <v>10</v>
      </c>
      <c r="V29" s="206">
        <f>G29-січень!G29</f>
        <v>113.38</v>
      </c>
      <c r="W29" s="221">
        <f t="shared" si="10"/>
        <v>103.38</v>
      </c>
      <c r="X29" s="222">
        <f t="shared" si="17"/>
        <v>11.338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18">
        <v>2355</v>
      </c>
      <c r="F30" s="219">
        <v>300.09</v>
      </c>
      <c r="G30" s="206">
        <v>465.94</v>
      </c>
      <c r="H30" s="218">
        <f t="shared" si="9"/>
        <v>165.85000000000002</v>
      </c>
      <c r="I30" s="220">
        <f t="shared" si="12"/>
        <v>1.5526675330734114</v>
      </c>
      <c r="J30" s="221">
        <f t="shared" si="1"/>
        <v>-1889.06</v>
      </c>
      <c r="K30" s="222">
        <f t="shared" si="15"/>
        <v>0.19785138004246283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42.64</v>
      </c>
      <c r="S30" s="221">
        <f t="shared" si="5"/>
        <v>423.3</v>
      </c>
      <c r="T30" s="222">
        <f t="shared" si="14"/>
        <v>10.927298311444654</v>
      </c>
      <c r="U30" s="206">
        <f>F30-січень!F30</f>
        <v>19.999999999999943</v>
      </c>
      <c r="V30" s="206">
        <f>G30-січень!G30</f>
        <v>184.95</v>
      </c>
      <c r="W30" s="221">
        <f t="shared" si="10"/>
        <v>164.95000000000005</v>
      </c>
      <c r="X30" s="222">
        <f t="shared" si="17"/>
        <v>9.247500000000025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18">
        <v>24907</v>
      </c>
      <c r="F31" s="219">
        <v>4925.8</v>
      </c>
      <c r="G31" s="206">
        <v>4773.23</v>
      </c>
      <c r="H31" s="218">
        <f t="shared" si="9"/>
        <v>-152.57000000000062</v>
      </c>
      <c r="I31" s="220">
        <f t="shared" si="12"/>
        <v>0.9690263510495756</v>
      </c>
      <c r="J31" s="221">
        <f t="shared" si="1"/>
        <v>-20133.77</v>
      </c>
      <c r="K31" s="222">
        <f t="shared" si="15"/>
        <v>0.19164210864415623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4215.34</v>
      </c>
      <c r="S31" s="221">
        <f t="shared" si="5"/>
        <v>557.8899999999994</v>
      </c>
      <c r="T31" s="222">
        <f t="shared" si="14"/>
        <v>1.1323475686421498</v>
      </c>
      <c r="U31" s="206">
        <f>F31-січень!F31</f>
        <v>720</v>
      </c>
      <c r="V31" s="206">
        <f>G31-січень!G31</f>
        <v>567.4299999999994</v>
      </c>
      <c r="W31" s="221">
        <f t="shared" si="10"/>
        <v>-152.57000000000062</v>
      </c>
      <c r="X31" s="222">
        <f t="shared" si="17"/>
        <v>0.7880972222222213</v>
      </c>
      <c r="Y31" s="197"/>
    </row>
    <row r="32" spans="1:25" s="6" customFormat="1" ht="18">
      <c r="A32" s="8"/>
      <c r="B32" s="41" t="s">
        <v>62</v>
      </c>
      <c r="C32" s="84"/>
      <c r="D32" s="243">
        <f>D33+D34</f>
        <v>282</v>
      </c>
      <c r="E32" s="119">
        <f>E33+E34</f>
        <v>282</v>
      </c>
      <c r="F32" s="119">
        <f>F33+F34</f>
        <v>159.03</v>
      </c>
      <c r="G32" s="120">
        <v>265.82</v>
      </c>
      <c r="H32" s="170">
        <f t="shared" si="9"/>
        <v>106.78999999999999</v>
      </c>
      <c r="I32" s="211">
        <f t="shared" si="12"/>
        <v>1.671508520404955</v>
      </c>
      <c r="J32" s="171">
        <f t="shared" si="1"/>
        <v>-16.180000000000007</v>
      </c>
      <c r="K32" s="180">
        <f t="shared" si="15"/>
        <v>0.9426241134751773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79.17</v>
      </c>
      <c r="S32" s="121">
        <f t="shared" si="5"/>
        <v>186.64999999999998</v>
      </c>
      <c r="T32" s="150">
        <f t="shared" si="14"/>
        <v>3.3575849437918404</v>
      </c>
      <c r="U32" s="136">
        <f>F32-січень!F32</f>
        <v>2</v>
      </c>
      <c r="V32" s="124">
        <f>G32-січень!G32</f>
        <v>108.78999999999999</v>
      </c>
      <c r="W32" s="116">
        <f t="shared" si="10"/>
        <v>106.78999999999999</v>
      </c>
      <c r="X32" s="180">
        <f t="shared" si="17"/>
        <v>54.394999999999996</v>
      </c>
      <c r="Y32" s="198">
        <f t="shared" si="16"/>
        <v>2.920551809861332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71">
        <v>100</v>
      </c>
      <c r="F33" s="223">
        <v>27.85</v>
      </c>
      <c r="G33" s="94">
        <v>60.84</v>
      </c>
      <c r="H33" s="71">
        <f t="shared" si="9"/>
        <v>32.99</v>
      </c>
      <c r="I33" s="209">
        <f t="shared" si="12"/>
        <v>2.184560143626571</v>
      </c>
      <c r="J33" s="72">
        <f t="shared" si="1"/>
        <v>-39.16</v>
      </c>
      <c r="K33" s="75">
        <f t="shared" si="15"/>
        <v>0.6084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25</v>
      </c>
      <c r="S33" s="72">
        <f t="shared" si="5"/>
        <v>35.84</v>
      </c>
      <c r="T33" s="75">
        <f t="shared" si="14"/>
        <v>2.4336</v>
      </c>
      <c r="U33" s="73">
        <f>F33-січень!F33</f>
        <v>0</v>
      </c>
      <c r="V33" s="98">
        <f>G33-січень!G33</f>
        <v>32.99</v>
      </c>
      <c r="W33" s="74">
        <f t="shared" si="10"/>
        <v>32.99</v>
      </c>
      <c r="X33" s="75" t="e">
        <f t="shared" si="17"/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71">
        <v>182</v>
      </c>
      <c r="F34" s="223">
        <v>131.18</v>
      </c>
      <c r="G34" s="94">
        <v>204.98</v>
      </c>
      <c r="H34" s="71">
        <f t="shared" si="9"/>
        <v>73.79999999999998</v>
      </c>
      <c r="I34" s="209">
        <f t="shared" si="12"/>
        <v>1.5625857600243938</v>
      </c>
      <c r="J34" s="72">
        <f t="shared" si="1"/>
        <v>22.97999999999999</v>
      </c>
      <c r="K34" s="75">
        <f t="shared" si="15"/>
        <v>1.1262637362637362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54.17</v>
      </c>
      <c r="S34" s="72">
        <f t="shared" si="5"/>
        <v>150.81</v>
      </c>
      <c r="T34" s="75">
        <f t="shared" si="14"/>
        <v>3.784013291489754</v>
      </c>
      <c r="U34" s="73">
        <f>F34-січень!F34</f>
        <v>2</v>
      </c>
      <c r="V34" s="98">
        <f>G34-січень!G34</f>
        <v>75.79999999999998</v>
      </c>
      <c r="W34" s="74"/>
      <c r="X34" s="75">
        <f t="shared" si="17"/>
        <v>37.89999999999999</v>
      </c>
      <c r="Y34" s="198"/>
    </row>
    <row r="35" spans="1:25" s="6" customFormat="1" ht="18">
      <c r="A35" s="8"/>
      <c r="B35" s="41" t="s">
        <v>63</v>
      </c>
      <c r="C35" s="84"/>
      <c r="D35" s="229">
        <f>D36+D37</f>
        <v>187776</v>
      </c>
      <c r="E35" s="119">
        <f>E36+E37</f>
        <v>187776</v>
      </c>
      <c r="F35" s="119">
        <f>F36+F37</f>
        <v>28112.48</v>
      </c>
      <c r="G35" s="120">
        <v>27089.68</v>
      </c>
      <c r="H35" s="102">
        <f t="shared" si="9"/>
        <v>-1022.7999999999993</v>
      </c>
      <c r="I35" s="211">
        <f t="shared" si="12"/>
        <v>0.9636175819422549</v>
      </c>
      <c r="J35" s="171">
        <f t="shared" si="1"/>
        <v>-160686.32</v>
      </c>
      <c r="K35" s="180">
        <f t="shared" si="15"/>
        <v>0.14426593387866393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26967.67</v>
      </c>
      <c r="S35" s="122">
        <f t="shared" si="5"/>
        <v>122.01000000000204</v>
      </c>
      <c r="T35" s="149">
        <f t="shared" si="14"/>
        <v>1.0045243063267981</v>
      </c>
      <c r="U35" s="136">
        <f>F35-січень!F35</f>
        <v>14759</v>
      </c>
      <c r="V35" s="124">
        <f>G35-січень!G35</f>
        <v>13736.18</v>
      </c>
      <c r="W35" s="116">
        <f t="shared" si="10"/>
        <v>-1022.8199999999997</v>
      </c>
      <c r="X35" s="180">
        <f t="shared" si="17"/>
        <v>0.9306985568127922</v>
      </c>
      <c r="Y35" s="198">
        <f t="shared" si="16"/>
        <v>-0.0319294736004212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18" ref="E36:G37">E38+E40</f>
        <v>60690</v>
      </c>
      <c r="F36" s="139">
        <f t="shared" si="18"/>
        <v>9226.23</v>
      </c>
      <c r="G36" s="139">
        <v>4326.71</v>
      </c>
      <c r="H36" s="158">
        <f t="shared" si="9"/>
        <v>-4899.5199999999995</v>
      </c>
      <c r="I36" s="212">
        <f t="shared" si="12"/>
        <v>0.468957526530338</v>
      </c>
      <c r="J36" s="176">
        <f t="shared" si="1"/>
        <v>-56363.29</v>
      </c>
      <c r="K36" s="191">
        <f t="shared" si="15"/>
        <v>0.07129197561377493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8859.21</v>
      </c>
      <c r="S36" s="140">
        <f t="shared" si="5"/>
        <v>-4532.499999999999</v>
      </c>
      <c r="T36" s="162">
        <f t="shared" si="14"/>
        <v>0.4883855332473212</v>
      </c>
      <c r="U36" s="167">
        <f>F36-січень!F36</f>
        <v>5159</v>
      </c>
      <c r="V36" s="167">
        <f>G36-січень!G36</f>
        <v>259.47000000000025</v>
      </c>
      <c r="W36" s="176">
        <f t="shared" si="10"/>
        <v>-4899.53</v>
      </c>
      <c r="X36" s="191">
        <f aca="true" t="shared" si="19" ref="X36:X41">V36/U36*100</f>
        <v>5.029463074239199</v>
      </c>
      <c r="Y36" s="197">
        <f t="shared" si="16"/>
        <v>-0.5471266127351511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18"/>
        <v>127086</v>
      </c>
      <c r="F37" s="139">
        <f t="shared" si="18"/>
        <v>18886.25</v>
      </c>
      <c r="G37" s="139">
        <f t="shared" si="18"/>
        <v>18969.66</v>
      </c>
      <c r="H37" s="158">
        <f t="shared" si="9"/>
        <v>83.40999999999985</v>
      </c>
      <c r="I37" s="212">
        <f t="shared" si="12"/>
        <v>1.0044164405321332</v>
      </c>
      <c r="J37" s="176">
        <f t="shared" si="1"/>
        <v>-108116.34</v>
      </c>
      <c r="K37" s="191">
        <f t="shared" si="15"/>
        <v>0.1492663235918984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18108.45</v>
      </c>
      <c r="S37" s="140">
        <f t="shared" si="5"/>
        <v>861.2099999999991</v>
      </c>
      <c r="T37" s="162">
        <f t="shared" si="14"/>
        <v>1.047558460276832</v>
      </c>
      <c r="U37" s="167">
        <f>F37-січень!F37</f>
        <v>9600</v>
      </c>
      <c r="V37" s="167">
        <f>G37-січень!G37</f>
        <v>9683.4</v>
      </c>
      <c r="W37" s="176">
        <f t="shared" si="10"/>
        <v>83.39999999999964</v>
      </c>
      <c r="X37" s="191">
        <f>V37/U37</f>
        <v>1.0086875</v>
      </c>
      <c r="Y37" s="197">
        <f t="shared" si="16"/>
        <v>0.010654398012654775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18">
        <v>57290</v>
      </c>
      <c r="F38" s="218">
        <v>8884.4</v>
      </c>
      <c r="G38" s="206">
        <v>7954.81</v>
      </c>
      <c r="H38" s="218">
        <f t="shared" si="9"/>
        <v>-929.5899999999992</v>
      </c>
      <c r="I38" s="220">
        <f t="shared" si="12"/>
        <v>0.8953682859844222</v>
      </c>
      <c r="J38" s="221">
        <f t="shared" si="1"/>
        <v>-49335.19</v>
      </c>
      <c r="K38" s="222">
        <f t="shared" si="15"/>
        <v>0.13885163204747775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8645.88</v>
      </c>
      <c r="S38" s="221">
        <f t="shared" si="5"/>
        <v>-691.0699999999988</v>
      </c>
      <c r="T38" s="222">
        <f t="shared" si="14"/>
        <v>0.9200694434805944</v>
      </c>
      <c r="U38" s="206">
        <f>F38-січень!F38</f>
        <v>4900</v>
      </c>
      <c r="V38" s="206">
        <f>G38-січень!G38</f>
        <v>3970.4000000000005</v>
      </c>
      <c r="W38" s="221">
        <f t="shared" si="10"/>
        <v>-929.5999999999995</v>
      </c>
      <c r="X38" s="222">
        <f t="shared" si="19"/>
        <v>81.02857142857144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18">
        <v>105986</v>
      </c>
      <c r="F39" s="218">
        <v>15793.45</v>
      </c>
      <c r="G39" s="206">
        <v>15859.42</v>
      </c>
      <c r="H39" s="218">
        <f t="shared" si="9"/>
        <v>65.96999999999935</v>
      </c>
      <c r="I39" s="220">
        <f t="shared" si="12"/>
        <v>1.0041770480800585</v>
      </c>
      <c r="J39" s="221">
        <f t="shared" si="1"/>
        <v>-90126.58</v>
      </c>
      <c r="K39" s="222">
        <f t="shared" si="15"/>
        <v>0.14963693317985394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14982.8</v>
      </c>
      <c r="S39" s="221">
        <f t="shared" si="5"/>
        <v>876.6200000000008</v>
      </c>
      <c r="T39" s="222">
        <f t="shared" si="14"/>
        <v>1.0585084229916972</v>
      </c>
      <c r="U39" s="206">
        <f>F39-січень!F39</f>
        <v>8000.000000000001</v>
      </c>
      <c r="V39" s="206">
        <f>G39-січень!G39</f>
        <v>8065.97</v>
      </c>
      <c r="W39" s="221">
        <f t="shared" si="10"/>
        <v>65.96999999999935</v>
      </c>
      <c r="X39" s="222">
        <f t="shared" si="19"/>
        <v>100.824625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18">
        <v>3400</v>
      </c>
      <c r="F40" s="218">
        <v>341.83</v>
      </c>
      <c r="G40" s="206">
        <v>165.21</v>
      </c>
      <c r="H40" s="218">
        <f t="shared" si="9"/>
        <v>-176.61999999999998</v>
      </c>
      <c r="I40" s="220">
        <f t="shared" si="12"/>
        <v>0.48331041745897085</v>
      </c>
      <c r="J40" s="221">
        <f t="shared" si="1"/>
        <v>-3234.79</v>
      </c>
      <c r="K40" s="222">
        <f t="shared" si="15"/>
        <v>0.048591176470588235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213.33</v>
      </c>
      <c r="S40" s="221">
        <f t="shared" si="5"/>
        <v>-48.120000000000005</v>
      </c>
      <c r="T40" s="222">
        <f t="shared" si="14"/>
        <v>0.7744339755308677</v>
      </c>
      <c r="U40" s="206">
        <f>F40-січень!F40</f>
        <v>259</v>
      </c>
      <c r="V40" s="206">
        <f>G40-січень!G40</f>
        <v>82.38000000000001</v>
      </c>
      <c r="W40" s="221">
        <f t="shared" si="10"/>
        <v>-176.62</v>
      </c>
      <c r="X40" s="222">
        <f t="shared" si="19"/>
        <v>31.80694980694981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18">
        <v>21100</v>
      </c>
      <c r="F41" s="218">
        <v>3092.8</v>
      </c>
      <c r="G41" s="206">
        <v>3110.24</v>
      </c>
      <c r="H41" s="218">
        <f t="shared" si="9"/>
        <v>17.4399999999996</v>
      </c>
      <c r="I41" s="220">
        <f t="shared" si="12"/>
        <v>1.0056389032591826</v>
      </c>
      <c r="J41" s="221">
        <f t="shared" si="1"/>
        <v>-17989.760000000002</v>
      </c>
      <c r="K41" s="222">
        <f t="shared" si="15"/>
        <v>0.14740473933649287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3125.65</v>
      </c>
      <c r="S41" s="221">
        <f t="shared" si="5"/>
        <v>-15.41000000000031</v>
      </c>
      <c r="T41" s="222">
        <f t="shared" si="14"/>
        <v>0.9950698254763009</v>
      </c>
      <c r="U41" s="206">
        <f>F41-січень!F41</f>
        <v>1600.0000000000002</v>
      </c>
      <c r="V41" s="206">
        <f>G41-січень!G41</f>
        <v>1617.4299999999998</v>
      </c>
      <c r="W41" s="221">
        <f t="shared" si="10"/>
        <v>17.42999999999961</v>
      </c>
      <c r="X41" s="222">
        <f t="shared" si="19"/>
        <v>101.08937499999998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4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F42-січень!F42</f>
        <v>0</v>
      </c>
      <c r="V42" s="110">
        <f>G42-січень!G42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32.43</v>
      </c>
      <c r="G43" s="106">
        <v>42.13</v>
      </c>
      <c r="H43" s="102">
        <f t="shared" si="9"/>
        <v>9.700000000000003</v>
      </c>
      <c r="I43" s="208">
        <f>G43/F43</f>
        <v>1.2991057662658034</v>
      </c>
      <c r="J43" s="108">
        <f t="shared" si="1"/>
        <v>-132.27</v>
      </c>
      <c r="K43" s="148">
        <f>G43/E43</f>
        <v>0.2415711009174312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34.2</v>
      </c>
      <c r="S43" s="108">
        <f t="shared" si="5"/>
        <v>7.93</v>
      </c>
      <c r="T43" s="148">
        <f aca="true" t="shared" si="20" ref="T43:T51">G43/R43</f>
        <v>1.2318713450292398</v>
      </c>
      <c r="U43" s="107">
        <f>F43-січень!F43</f>
        <v>22</v>
      </c>
      <c r="V43" s="110">
        <f>G43-січень!G43</f>
        <v>31.700000000000003</v>
      </c>
      <c r="W43" s="111">
        <f t="shared" si="10"/>
        <v>9.700000000000003</v>
      </c>
      <c r="X43" s="148">
        <f>V43/U43</f>
        <v>1.4409090909090911</v>
      </c>
      <c r="Y43" s="197">
        <f t="shared" si="16"/>
        <v>0.11976829694863778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24.9</v>
      </c>
      <c r="G44" s="94">
        <v>33.8</v>
      </c>
      <c r="H44" s="71">
        <f t="shared" si="9"/>
        <v>8.899999999999999</v>
      </c>
      <c r="I44" s="209">
        <f>G44/F44</f>
        <v>1.357429718875502</v>
      </c>
      <c r="J44" s="72">
        <f t="shared" si="1"/>
        <v>-67.10000000000001</v>
      </c>
      <c r="K44" s="75">
        <f>G44/E44</f>
        <v>0.33498513379583744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19.86</v>
      </c>
      <c r="S44" s="72">
        <f t="shared" si="5"/>
        <v>13.939999999999998</v>
      </c>
      <c r="T44" s="75">
        <f t="shared" si="20"/>
        <v>1.701913393756294</v>
      </c>
      <c r="U44" s="73">
        <f>F44-січень!F44</f>
        <v>14.999999999999998</v>
      </c>
      <c r="V44" s="98">
        <f>G44-січень!G44</f>
        <v>23.9</v>
      </c>
      <c r="W44" s="74">
        <f t="shared" si="10"/>
        <v>8.9</v>
      </c>
      <c r="X44" s="75">
        <f>V44/U44</f>
        <v>1.5933333333333335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20"/>
        <v>0.5808926080892608</v>
      </c>
      <c r="U45" s="73">
        <f>F45-січень!F45</f>
        <v>7</v>
      </c>
      <c r="V45" s="98">
        <f>G45-січень!G45</f>
        <v>7.8</v>
      </c>
      <c r="W45" s="74">
        <f t="shared" si="10"/>
        <v>0.7999999999999998</v>
      </c>
      <c r="X45" s="75">
        <f>V45/U45</f>
        <v>1.1142857142857143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2"/>
      <c r="E46" s="102"/>
      <c r="F46" s="102"/>
      <c r="G46" s="106">
        <v>-2.34</v>
      </c>
      <c r="H46" s="102">
        <f t="shared" si="9"/>
        <v>-2.34</v>
      </c>
      <c r="I46" s="208"/>
      <c r="J46" s="108">
        <f t="shared" si="1"/>
        <v>-2.34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-10.76</v>
      </c>
      <c r="S46" s="108">
        <f t="shared" si="5"/>
        <v>8.42</v>
      </c>
      <c r="T46" s="148">
        <f t="shared" si="20"/>
        <v>0.21747211895910779</v>
      </c>
      <c r="U46" s="107">
        <f>F46-січень!F46</f>
        <v>0</v>
      </c>
      <c r="V46" s="110">
        <f>G46-січень!G46</f>
        <v>-1.4299999999999997</v>
      </c>
      <c r="W46" s="111">
        <f t="shared" si="10"/>
        <v>-1.4299999999999997</v>
      </c>
      <c r="X46" s="148"/>
      <c r="Y46" s="197">
        <f t="shared" si="16"/>
        <v>0.21747211895910779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f>E48+E49+E50+E51</f>
        <v>254550.8</v>
      </c>
      <c r="F47" s="112">
        <f>F48+F49+F50+F51</f>
        <v>59848.16</v>
      </c>
      <c r="G47" s="113">
        <v>60022.9</v>
      </c>
      <c r="H47" s="102">
        <f t="shared" si="9"/>
        <v>174.73999999999796</v>
      </c>
      <c r="I47" s="208">
        <f>G47/F47</f>
        <v>1.0029197221769224</v>
      </c>
      <c r="J47" s="108">
        <f t="shared" si="1"/>
        <v>-194527.9</v>
      </c>
      <c r="K47" s="148">
        <f>G47/E47</f>
        <v>0.2357992982147375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47628.56</v>
      </c>
      <c r="S47" s="123">
        <f t="shared" si="5"/>
        <v>12394.340000000004</v>
      </c>
      <c r="T47" s="160">
        <f t="shared" si="20"/>
        <v>1.260229156623673</v>
      </c>
      <c r="U47" s="107">
        <f>F47-січень!F47</f>
        <v>34802</v>
      </c>
      <c r="V47" s="110">
        <f>G47-січень!G47</f>
        <v>34976.7</v>
      </c>
      <c r="W47" s="111">
        <f t="shared" si="10"/>
        <v>174.6999999999971</v>
      </c>
      <c r="X47" s="148">
        <f>V47/U47</f>
        <v>1.0050198264467558</v>
      </c>
      <c r="Y47" s="197">
        <f t="shared" si="16"/>
        <v>0.12062752213876893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20"/>
        <v>1</v>
      </c>
      <c r="U48" s="73">
        <f>F48-січень!F48</f>
        <v>0</v>
      </c>
      <c r="V48" s="98">
        <f>G48-січень!G48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f>10683.87+2900</f>
        <v>13583.87</v>
      </c>
      <c r="G49" s="94">
        <v>13593.63</v>
      </c>
      <c r="H49" s="71">
        <f>G49-F49</f>
        <v>9.7599999999984</v>
      </c>
      <c r="I49" s="209">
        <f>G49/F49</f>
        <v>1.0007184992200306</v>
      </c>
      <c r="J49" s="72">
        <f t="shared" si="1"/>
        <v>-42121.37</v>
      </c>
      <c r="K49" s="75">
        <f>G49/E49</f>
        <v>0.24398510275509286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9755.95</v>
      </c>
      <c r="S49" s="85">
        <f t="shared" si="5"/>
        <v>3837.6799999999985</v>
      </c>
      <c r="T49" s="153">
        <f t="shared" si="20"/>
        <v>1.393368149693264</v>
      </c>
      <c r="U49" s="73">
        <f>F49-січень!F49</f>
        <v>9700</v>
      </c>
      <c r="V49" s="98">
        <f>G49-січень!G49</f>
        <v>9709.759999999998</v>
      </c>
      <c r="W49" s="74">
        <f t="shared" si="10"/>
        <v>9.7599999999984</v>
      </c>
      <c r="X49" s="75">
        <f>V49/U49</f>
        <v>1.00100618556701</v>
      </c>
      <c r="Y49" s="197">
        <f t="shared" si="16"/>
        <v>0.1560912381709436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f>44240.49+2000</f>
        <v>46240.49</v>
      </c>
      <c r="G50" s="94">
        <v>46407.44</v>
      </c>
      <c r="H50" s="71">
        <f>G50-F50</f>
        <v>166.95000000000437</v>
      </c>
      <c r="I50" s="209">
        <f>G50/F50</f>
        <v>1.003610472120862</v>
      </c>
      <c r="J50" s="72">
        <f t="shared" si="1"/>
        <v>-152347.56</v>
      </c>
      <c r="K50" s="75">
        <f>G50/E50</f>
        <v>0.23349067947976151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37856.5</v>
      </c>
      <c r="S50" s="85">
        <f t="shared" si="5"/>
        <v>8550.940000000002</v>
      </c>
      <c r="T50" s="153">
        <f t="shared" si="20"/>
        <v>1.2258777224518909</v>
      </c>
      <c r="U50" s="73">
        <f>F50-січень!F50</f>
        <v>25099.999999999996</v>
      </c>
      <c r="V50" s="98">
        <f>G50-січень!G50</f>
        <v>25266.95</v>
      </c>
      <c r="W50" s="74">
        <f t="shared" si="10"/>
        <v>166.95000000000437</v>
      </c>
      <c r="X50" s="75">
        <f>V50/U50</f>
        <v>1.006651394422311</v>
      </c>
      <c r="Y50" s="197">
        <f t="shared" si="16"/>
        <v>0.11096925539648095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23.8</v>
      </c>
      <c r="G51" s="94">
        <v>21.84</v>
      </c>
      <c r="H51" s="71">
        <f>G51-F51</f>
        <v>-1.9600000000000009</v>
      </c>
      <c r="I51" s="209">
        <f>G51/F51</f>
        <v>0.9176470588235294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5.73</v>
      </c>
      <c r="T51" s="153">
        <f t="shared" si="20"/>
        <v>1.3556797020484173</v>
      </c>
      <c r="U51" s="73">
        <f>F51-січень!F51</f>
        <v>2</v>
      </c>
      <c r="V51" s="98">
        <f>G51-січень!G51</f>
        <v>0</v>
      </c>
      <c r="W51" s="74">
        <f t="shared" si="10"/>
        <v>-2</v>
      </c>
      <c r="X51" s="75"/>
      <c r="Y51" s="197">
        <f t="shared" si="16"/>
        <v>0.16094363817143953</v>
      </c>
    </row>
    <row r="52" spans="1:25" s="6" customFormat="1" ht="15" customHeight="1" hidden="1">
      <c r="A52" s="8"/>
      <c r="B52" s="164"/>
      <c r="C52" s="34"/>
      <c r="D52" s="228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F52-січень!F52</f>
        <v>0</v>
      </c>
      <c r="V52" s="99">
        <f>G52-січень!G52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7035.548000000001</v>
      </c>
      <c r="G53" s="103">
        <f>G54+G55+G56+G57+G58+G60+G62+G63+G64+G65+G66+G71+G72+G76+G59+G61</f>
        <v>6945.68</v>
      </c>
      <c r="H53" s="103">
        <f>H54+H55+H56+H57+H58+H60+H62+H63+H64+H65+H66+H71+H72+H76+H59+H61</f>
        <v>-89.86800000000001</v>
      </c>
      <c r="I53" s="143">
        <f aca="true" t="shared" si="21" ref="I53:I72">G53/F53</f>
        <v>0.987226581355141</v>
      </c>
      <c r="J53" s="104">
        <f>G53-E53</f>
        <v>-40303.22</v>
      </c>
      <c r="K53" s="156">
        <f aca="true" t="shared" si="22" ref="K53:K72">G53/E53</f>
        <v>0.14700194078592305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2717.9500000000007</v>
      </c>
      <c r="T53" s="143">
        <f>G53/R53</f>
        <v>1.64288637164625</v>
      </c>
      <c r="U53" s="103">
        <f>U54+U55+U56+U57+U58+U60+U62+U63+U64+U65+U66+U71+U72+U76+U59+U61</f>
        <v>3787.788</v>
      </c>
      <c r="V53" s="103">
        <f>V54+V55+V56+V57+V58+V60+V62+V63+V64+V65+V66+V71+V72+V76+V59+V61</f>
        <v>3697.92</v>
      </c>
      <c r="W53" s="103">
        <f>W54+W55+W56+W57+W58+W60+W62+W63+W64+W65+W66+W71+W72+W76</f>
        <v>-74.83799999999994</v>
      </c>
      <c r="X53" s="143">
        <f>V53/U53</f>
        <v>0.9762742793419272</v>
      </c>
      <c r="Y53" s="197">
        <f t="shared" si="16"/>
        <v>0.9618798479563281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6.11</v>
      </c>
      <c r="G54" s="106">
        <v>55.49</v>
      </c>
      <c r="H54" s="102">
        <f aca="true" t="shared" si="23" ref="H54:H78">G54-F54</f>
        <v>49.38</v>
      </c>
      <c r="I54" s="213">
        <f t="shared" si="21"/>
        <v>9.081833060556464</v>
      </c>
      <c r="J54" s="115">
        <f>G54-E54</f>
        <v>-2594.51</v>
      </c>
      <c r="K54" s="155">
        <f t="shared" si="22"/>
        <v>0.020939622641509434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9.18</v>
      </c>
      <c r="S54" s="115">
        <f t="shared" si="5"/>
        <v>46.31</v>
      </c>
      <c r="T54" s="155">
        <f>G54/R54</f>
        <v>6.044662309368192</v>
      </c>
      <c r="U54" s="107">
        <f>F54-січень!F54</f>
        <v>5</v>
      </c>
      <c r="V54" s="110">
        <f>G54-січень!G54</f>
        <v>54.38</v>
      </c>
      <c r="W54" s="111">
        <f aca="true" t="shared" si="24" ref="W54:W78">V54-U54</f>
        <v>49.38</v>
      </c>
      <c r="X54" s="155">
        <f>V54/U54</f>
        <v>10.876000000000001</v>
      </c>
      <c r="Y54" s="197">
        <f t="shared" si="16"/>
        <v>5.038572619319748</v>
      </c>
    </row>
    <row r="55" spans="1:25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280.078</v>
      </c>
      <c r="G55" s="106">
        <v>280.08</v>
      </c>
      <c r="H55" s="102">
        <f t="shared" si="23"/>
        <v>0.0020000000000095497</v>
      </c>
      <c r="I55" s="213">
        <f t="shared" si="21"/>
        <v>1.0000071408679012</v>
      </c>
      <c r="J55" s="115">
        <f aca="true" t="shared" si="25" ref="J55:J78">G55-E55</f>
        <v>-4719.92</v>
      </c>
      <c r="K55" s="155">
        <f t="shared" si="22"/>
        <v>0.056015999999999996</v>
      </c>
      <c r="L55" s="115"/>
      <c r="M55" s="115"/>
      <c r="N55" s="115"/>
      <c r="O55" s="115">
        <v>27997.6</v>
      </c>
      <c r="P55" s="115">
        <f aca="true" t="shared" si="26" ref="P55:P72">E55-O55</f>
        <v>-22997.6</v>
      </c>
      <c r="Q55" s="155">
        <f aca="true" t="shared" si="27" ref="Q55:Q72">E55/O55</f>
        <v>0.17858673600594338</v>
      </c>
      <c r="R55" s="115">
        <v>2116.32</v>
      </c>
      <c r="S55" s="115">
        <f t="shared" si="5"/>
        <v>-1836.2400000000002</v>
      </c>
      <c r="T55" s="155">
        <f aca="true" t="shared" si="28" ref="T55:T78">G55/R55</f>
        <v>0.13234293490587434</v>
      </c>
      <c r="U55" s="107">
        <f>F55-січень!F55</f>
        <v>280.078</v>
      </c>
      <c r="V55" s="110">
        <f>G55-січень!G55</f>
        <v>280.08</v>
      </c>
      <c r="W55" s="111">
        <f t="shared" si="24"/>
        <v>0.0020000000000095497</v>
      </c>
      <c r="X55" s="155">
        <f aca="true" t="shared" si="29" ref="X55:X77">V55/U55</f>
        <v>1.0000071408679012</v>
      </c>
      <c r="Y55" s="197">
        <f t="shared" si="16"/>
        <v>-0.04624380110006904</v>
      </c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14</v>
      </c>
      <c r="G56" s="106">
        <v>13.23</v>
      </c>
      <c r="H56" s="102">
        <f t="shared" si="23"/>
        <v>-0.7699999999999996</v>
      </c>
      <c r="I56" s="213">
        <f t="shared" si="21"/>
        <v>0.9450000000000001</v>
      </c>
      <c r="J56" s="115">
        <f t="shared" si="25"/>
        <v>-144.77</v>
      </c>
      <c r="K56" s="155">
        <f t="shared" si="22"/>
        <v>0.08373417721518987</v>
      </c>
      <c r="L56" s="115"/>
      <c r="M56" s="115"/>
      <c r="N56" s="115"/>
      <c r="O56" s="115">
        <v>153.3</v>
      </c>
      <c r="P56" s="115">
        <f t="shared" si="26"/>
        <v>4.699999999999989</v>
      </c>
      <c r="Q56" s="155">
        <f t="shared" si="27"/>
        <v>1.030658838878017</v>
      </c>
      <c r="R56" s="115">
        <v>57.08</v>
      </c>
      <c r="S56" s="115">
        <f t="shared" si="5"/>
        <v>-43.849999999999994</v>
      </c>
      <c r="T56" s="155">
        <f t="shared" si="28"/>
        <v>0.23177995795374914</v>
      </c>
      <c r="U56" s="107">
        <f>F56-січень!F56</f>
        <v>14</v>
      </c>
      <c r="V56" s="110">
        <f>G56-січень!G56</f>
        <v>13.23</v>
      </c>
      <c r="W56" s="111">
        <f t="shared" si="24"/>
        <v>-0.7699999999999996</v>
      </c>
      <c r="X56" s="155">
        <f t="shared" si="29"/>
        <v>0.9450000000000001</v>
      </c>
      <c r="Y56" s="197">
        <f t="shared" si="16"/>
        <v>-0.7988788809242677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3</v>
      </c>
      <c r="G57" s="106">
        <v>2.02</v>
      </c>
      <c r="H57" s="102">
        <f t="shared" si="23"/>
        <v>-0.98</v>
      </c>
      <c r="I57" s="213">
        <f t="shared" si="21"/>
        <v>0.6733333333333333</v>
      </c>
      <c r="J57" s="115">
        <f t="shared" si="25"/>
        <v>-10.98</v>
      </c>
      <c r="K57" s="155">
        <f t="shared" si="22"/>
        <v>0.1553846153846154</v>
      </c>
      <c r="L57" s="115"/>
      <c r="M57" s="115"/>
      <c r="N57" s="115"/>
      <c r="O57" s="115">
        <v>12.95</v>
      </c>
      <c r="P57" s="115">
        <f t="shared" si="26"/>
        <v>0.05000000000000071</v>
      </c>
      <c r="Q57" s="225">
        <f t="shared" si="27"/>
        <v>1.0038610038610039</v>
      </c>
      <c r="R57" s="115">
        <v>2.03</v>
      </c>
      <c r="S57" s="115">
        <f t="shared" si="5"/>
        <v>-0.009999999999999787</v>
      </c>
      <c r="T57" s="155"/>
      <c r="U57" s="107">
        <f>F57-січень!F57</f>
        <v>1</v>
      </c>
      <c r="V57" s="110">
        <f>G57-січень!G57</f>
        <v>0</v>
      </c>
      <c r="W57" s="111">
        <f t="shared" si="24"/>
        <v>-1</v>
      </c>
      <c r="X57" s="155">
        <f t="shared" si="29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88.43</v>
      </c>
      <c r="G58" s="106">
        <v>52.18</v>
      </c>
      <c r="H58" s="102">
        <f t="shared" si="23"/>
        <v>-36.25000000000001</v>
      </c>
      <c r="I58" s="213">
        <f t="shared" si="21"/>
        <v>0.5900712427909081</v>
      </c>
      <c r="J58" s="115">
        <f t="shared" si="25"/>
        <v>-691.82</v>
      </c>
      <c r="K58" s="155">
        <f t="shared" si="22"/>
        <v>0.07013440860215053</v>
      </c>
      <c r="L58" s="115"/>
      <c r="M58" s="115"/>
      <c r="N58" s="115"/>
      <c r="O58" s="115">
        <v>705.31</v>
      </c>
      <c r="P58" s="115">
        <f t="shared" si="26"/>
        <v>38.690000000000055</v>
      </c>
      <c r="Q58" s="155">
        <f t="shared" si="27"/>
        <v>1.0548553118486907</v>
      </c>
      <c r="R58" s="115">
        <v>82.08</v>
      </c>
      <c r="S58" s="115">
        <f t="shared" si="5"/>
        <v>-29.9</v>
      </c>
      <c r="T58" s="155">
        <f t="shared" si="28"/>
        <v>0.6357212475633528</v>
      </c>
      <c r="U58" s="107">
        <f>F58-січень!F58</f>
        <v>60.00000000000001</v>
      </c>
      <c r="V58" s="110">
        <f>G58-січень!G58</f>
        <v>23.75</v>
      </c>
      <c r="W58" s="111">
        <f t="shared" si="24"/>
        <v>-36.25000000000001</v>
      </c>
      <c r="X58" s="155">
        <f t="shared" si="29"/>
        <v>0.39583333333333326</v>
      </c>
      <c r="Y58" s="197">
        <f t="shared" si="16"/>
        <v>-0.41913406428533795</v>
      </c>
    </row>
    <row r="59" spans="1:25" s="6" customFormat="1" ht="46.5">
      <c r="A59" s="8"/>
      <c r="B59" s="88" t="s">
        <v>67</v>
      </c>
      <c r="C59" s="57">
        <v>21081500</v>
      </c>
      <c r="D59" s="248">
        <v>115.5</v>
      </c>
      <c r="E59" s="102">
        <v>115.5</v>
      </c>
      <c r="F59" s="102">
        <v>10</v>
      </c>
      <c r="G59" s="106">
        <v>-11.58</v>
      </c>
      <c r="H59" s="102">
        <f t="shared" si="23"/>
        <v>-21.58</v>
      </c>
      <c r="I59" s="213">
        <f t="shared" si="21"/>
        <v>-1.158</v>
      </c>
      <c r="J59" s="115">
        <f t="shared" si="25"/>
        <v>-127.08</v>
      </c>
      <c r="K59" s="155">
        <f t="shared" si="22"/>
        <v>-0.10025974025974026</v>
      </c>
      <c r="L59" s="115"/>
      <c r="M59" s="115"/>
      <c r="N59" s="115"/>
      <c r="O59" s="115">
        <v>114.3</v>
      </c>
      <c r="P59" s="115">
        <f t="shared" si="26"/>
        <v>1.2000000000000028</v>
      </c>
      <c r="Q59" s="155">
        <f t="shared" si="27"/>
        <v>1.010498687664042</v>
      </c>
      <c r="R59" s="115">
        <v>0</v>
      </c>
      <c r="S59" s="115">
        <f t="shared" si="5"/>
        <v>-11.58</v>
      </c>
      <c r="T59" s="155" t="e">
        <f t="shared" si="28"/>
        <v>#DIV/0!</v>
      </c>
      <c r="U59" s="107">
        <f>F59-січень!F59</f>
        <v>10</v>
      </c>
      <c r="V59" s="110">
        <f>G59-січень!G59</f>
        <v>-5.03</v>
      </c>
      <c r="W59" s="111">
        <f t="shared" si="24"/>
        <v>-15.030000000000001</v>
      </c>
      <c r="X59" s="155">
        <f t="shared" si="29"/>
        <v>-0.503</v>
      </c>
      <c r="Y59" s="197" t="e">
        <f t="shared" si="16"/>
        <v>#DIV/0!</v>
      </c>
    </row>
    <row r="60" spans="1:25" s="6" customFormat="1" ht="30.75">
      <c r="A60" s="8"/>
      <c r="B60" s="352" t="s">
        <v>89</v>
      </c>
      <c r="C60" s="40">
        <v>22010300</v>
      </c>
      <c r="D60" s="249">
        <v>1284</v>
      </c>
      <c r="E60" s="102">
        <v>1284</v>
      </c>
      <c r="F60" s="102">
        <v>184</v>
      </c>
      <c r="G60" s="106">
        <v>177.19</v>
      </c>
      <c r="H60" s="102">
        <f t="shared" si="23"/>
        <v>-6.810000000000002</v>
      </c>
      <c r="I60" s="213">
        <f t="shared" si="21"/>
        <v>0.9629891304347826</v>
      </c>
      <c r="J60" s="115">
        <f t="shared" si="25"/>
        <v>-1106.81</v>
      </c>
      <c r="K60" s="155">
        <f t="shared" si="22"/>
        <v>0.13799844236760125</v>
      </c>
      <c r="L60" s="115"/>
      <c r="M60" s="115"/>
      <c r="N60" s="115"/>
      <c r="O60" s="115">
        <v>1205.14</v>
      </c>
      <c r="P60" s="115">
        <f t="shared" si="26"/>
        <v>78.8599999999999</v>
      </c>
      <c r="Q60" s="155">
        <f t="shared" si="27"/>
        <v>1.0654363808354215</v>
      </c>
      <c r="R60" s="115">
        <v>192.39</v>
      </c>
      <c r="S60" s="115">
        <f t="shared" si="5"/>
        <v>-15.199999999999989</v>
      </c>
      <c r="T60" s="155">
        <f t="shared" si="28"/>
        <v>0.920993814647331</v>
      </c>
      <c r="U60" s="107">
        <f>F60-січень!F60</f>
        <v>94.81</v>
      </c>
      <c r="V60" s="110">
        <f>G60-січень!G60</f>
        <v>88</v>
      </c>
      <c r="W60" s="111">
        <f t="shared" si="24"/>
        <v>-6.810000000000002</v>
      </c>
      <c r="X60" s="155">
        <f t="shared" si="29"/>
        <v>0.9281721337411665</v>
      </c>
      <c r="Y60" s="197">
        <f t="shared" si="16"/>
        <v>-0.14444256618809048</v>
      </c>
    </row>
    <row r="61" spans="1:25" s="6" customFormat="1" ht="18" hidden="1">
      <c r="A61" s="8"/>
      <c r="B61" s="352" t="s">
        <v>106</v>
      </c>
      <c r="C61" s="40">
        <v>22010200</v>
      </c>
      <c r="D61" s="235"/>
      <c r="E61" s="102">
        <v>0</v>
      </c>
      <c r="F61" s="102">
        <v>0</v>
      </c>
      <c r="G61" s="106">
        <v>0</v>
      </c>
      <c r="H61" s="102">
        <f t="shared" si="23"/>
        <v>0</v>
      </c>
      <c r="I61" s="213" t="e">
        <f t="shared" si="21"/>
        <v>#DIV/0!</v>
      </c>
      <c r="J61" s="115">
        <f t="shared" si="25"/>
        <v>0</v>
      </c>
      <c r="K61" s="155" t="e">
        <f t="shared" si="22"/>
        <v>#DIV/0!</v>
      </c>
      <c r="L61" s="115"/>
      <c r="M61" s="115"/>
      <c r="N61" s="115"/>
      <c r="O61" s="115">
        <v>23.38</v>
      </c>
      <c r="P61" s="115">
        <f t="shared" si="26"/>
        <v>-23.38</v>
      </c>
      <c r="Q61" s="155">
        <f t="shared" si="27"/>
        <v>0</v>
      </c>
      <c r="R61" s="115">
        <v>0</v>
      </c>
      <c r="S61" s="115">
        <f t="shared" si="5"/>
        <v>0</v>
      </c>
      <c r="T61" s="155"/>
      <c r="U61" s="107">
        <f>F61-січень!F61</f>
        <v>0</v>
      </c>
      <c r="V61" s="110">
        <f>G61-січень!G61</f>
        <v>0</v>
      </c>
      <c r="W61" s="111">
        <f t="shared" si="24"/>
        <v>0</v>
      </c>
      <c r="X61" s="155" t="e">
        <f t="shared" si="29"/>
        <v>#DIV/0!</v>
      </c>
      <c r="Y61" s="197">
        <f t="shared" si="16"/>
        <v>0</v>
      </c>
    </row>
    <row r="62" spans="1:25" s="6" customFormat="1" ht="18">
      <c r="A62" s="8"/>
      <c r="B62" s="353" t="s">
        <v>65</v>
      </c>
      <c r="C62" s="57">
        <v>22012500</v>
      </c>
      <c r="D62" s="248">
        <v>21260</v>
      </c>
      <c r="E62" s="102">
        <v>21260</v>
      </c>
      <c r="F62" s="102">
        <f>3690+200</f>
        <v>3890</v>
      </c>
      <c r="G62" s="106">
        <v>3955.42</v>
      </c>
      <c r="H62" s="102">
        <f t="shared" si="23"/>
        <v>65.42000000000007</v>
      </c>
      <c r="I62" s="213">
        <f t="shared" si="21"/>
        <v>1.0168174807197943</v>
      </c>
      <c r="J62" s="115">
        <f t="shared" si="25"/>
        <v>-17304.58</v>
      </c>
      <c r="K62" s="155">
        <f t="shared" si="22"/>
        <v>0.18604985888993414</v>
      </c>
      <c r="L62" s="115"/>
      <c r="M62" s="115"/>
      <c r="N62" s="115"/>
      <c r="O62" s="115">
        <v>20110.14</v>
      </c>
      <c r="P62" s="115">
        <f t="shared" si="26"/>
        <v>1149.8600000000006</v>
      </c>
      <c r="Q62" s="155">
        <f t="shared" si="27"/>
        <v>1.0571781200926498</v>
      </c>
      <c r="R62" s="115">
        <v>2143.72</v>
      </c>
      <c r="S62" s="115">
        <f t="shared" si="5"/>
        <v>1811.7000000000003</v>
      </c>
      <c r="T62" s="155">
        <f t="shared" si="28"/>
        <v>1.8451196984680838</v>
      </c>
      <c r="U62" s="107">
        <f>F62-січень!F62</f>
        <v>2000</v>
      </c>
      <c r="V62" s="110">
        <f>G62-січень!G62</f>
        <v>2061.32</v>
      </c>
      <c r="W62" s="111">
        <f t="shared" si="24"/>
        <v>61.320000000000164</v>
      </c>
      <c r="X62" s="155">
        <f t="shared" si="29"/>
        <v>1.0306600000000001</v>
      </c>
      <c r="Y62" s="197">
        <f t="shared" si="16"/>
        <v>0.787941578375434</v>
      </c>
    </row>
    <row r="63" spans="1:25" s="6" customFormat="1" ht="31.5">
      <c r="A63" s="8"/>
      <c r="B63" s="353" t="s">
        <v>86</v>
      </c>
      <c r="C63" s="57">
        <v>22012600</v>
      </c>
      <c r="D63" s="248">
        <v>767</v>
      </c>
      <c r="E63" s="102">
        <v>767</v>
      </c>
      <c r="F63" s="102">
        <v>121</v>
      </c>
      <c r="G63" s="106">
        <v>121.69</v>
      </c>
      <c r="H63" s="102">
        <f t="shared" si="23"/>
        <v>0.6899999999999977</v>
      </c>
      <c r="I63" s="213">
        <f t="shared" si="21"/>
        <v>1.005702479338843</v>
      </c>
      <c r="J63" s="115">
        <f t="shared" si="25"/>
        <v>-645.31</v>
      </c>
      <c r="K63" s="155">
        <f t="shared" si="22"/>
        <v>0.15865710560625815</v>
      </c>
      <c r="L63" s="115"/>
      <c r="M63" s="115"/>
      <c r="N63" s="115"/>
      <c r="O63" s="115">
        <v>710.04</v>
      </c>
      <c r="P63" s="115">
        <f t="shared" si="26"/>
        <v>56.960000000000036</v>
      </c>
      <c r="Q63" s="155">
        <f t="shared" si="27"/>
        <v>1.0802208326291478</v>
      </c>
      <c r="R63" s="115">
        <v>90.44</v>
      </c>
      <c r="S63" s="115">
        <f t="shared" si="5"/>
        <v>31.25</v>
      </c>
      <c r="T63" s="155">
        <f t="shared" si="28"/>
        <v>1.345532950022114</v>
      </c>
      <c r="U63" s="107">
        <f>F63-січень!F63</f>
        <v>64</v>
      </c>
      <c r="V63" s="110">
        <f>G63-січень!G63</f>
        <v>62.32</v>
      </c>
      <c r="W63" s="111">
        <f t="shared" si="24"/>
        <v>-1.6799999999999997</v>
      </c>
      <c r="X63" s="155">
        <f t="shared" si="29"/>
        <v>0.97375</v>
      </c>
      <c r="Y63" s="197">
        <f t="shared" si="16"/>
        <v>0.26531211739296623</v>
      </c>
    </row>
    <row r="64" spans="1:25" s="6" customFormat="1" ht="31.5">
      <c r="A64" s="8"/>
      <c r="B64" s="353" t="s">
        <v>90</v>
      </c>
      <c r="C64" s="57">
        <v>22012900</v>
      </c>
      <c r="D64" s="248">
        <v>44</v>
      </c>
      <c r="E64" s="102">
        <v>44</v>
      </c>
      <c r="F64" s="102">
        <v>4</v>
      </c>
      <c r="G64" s="106">
        <v>6.7</v>
      </c>
      <c r="H64" s="102">
        <f t="shared" si="23"/>
        <v>2.7</v>
      </c>
      <c r="I64" s="213">
        <f t="shared" si="21"/>
        <v>1.675</v>
      </c>
      <c r="J64" s="115">
        <f t="shared" si="25"/>
        <v>-37.3</v>
      </c>
      <c r="K64" s="155">
        <f t="shared" si="22"/>
        <v>0.15227272727272728</v>
      </c>
      <c r="L64" s="115"/>
      <c r="M64" s="115"/>
      <c r="N64" s="115"/>
      <c r="O64" s="115">
        <v>41.44</v>
      </c>
      <c r="P64" s="115">
        <f t="shared" si="26"/>
        <v>2.5600000000000023</v>
      </c>
      <c r="Q64" s="155">
        <f t="shared" si="27"/>
        <v>1.0617760617760619</v>
      </c>
      <c r="R64" s="115">
        <v>0</v>
      </c>
      <c r="S64" s="115">
        <f t="shared" si="5"/>
        <v>6.7</v>
      </c>
      <c r="T64" s="155" t="e">
        <f t="shared" si="28"/>
        <v>#DIV/0!</v>
      </c>
      <c r="U64" s="107">
        <f>F64-січень!F64</f>
        <v>3</v>
      </c>
      <c r="V64" s="110">
        <f>G64-січень!G64</f>
        <v>5.640000000000001</v>
      </c>
      <c r="W64" s="111">
        <f t="shared" si="24"/>
        <v>2.6400000000000006</v>
      </c>
      <c r="X64" s="155">
        <f t="shared" si="29"/>
        <v>1.8800000000000001</v>
      </c>
      <c r="Y64" s="197" t="e">
        <f t="shared" si="16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1064.14</v>
      </c>
      <c r="G65" s="106">
        <v>1114.23</v>
      </c>
      <c r="H65" s="102">
        <f t="shared" si="23"/>
        <v>50.08999999999992</v>
      </c>
      <c r="I65" s="213">
        <f t="shared" si="21"/>
        <v>1.0470708741331027</v>
      </c>
      <c r="J65" s="115">
        <f t="shared" si="25"/>
        <v>-4885.77</v>
      </c>
      <c r="K65" s="155">
        <f t="shared" si="22"/>
        <v>0.185705</v>
      </c>
      <c r="L65" s="115"/>
      <c r="M65" s="115"/>
      <c r="N65" s="115"/>
      <c r="O65" s="115">
        <v>6545.96</v>
      </c>
      <c r="P65" s="115">
        <f t="shared" si="26"/>
        <v>-545.96</v>
      </c>
      <c r="Q65" s="155">
        <f t="shared" si="27"/>
        <v>0.9165958850955398</v>
      </c>
      <c r="R65" s="115">
        <v>1163.35</v>
      </c>
      <c r="S65" s="115">
        <f t="shared" si="5"/>
        <v>-49.11999999999989</v>
      </c>
      <c r="T65" s="155">
        <f t="shared" si="28"/>
        <v>0.9577771092104699</v>
      </c>
      <c r="U65" s="107">
        <f>F65-січень!F65</f>
        <v>500.0000000000001</v>
      </c>
      <c r="V65" s="110">
        <f>G65-січень!G65</f>
        <v>550.09</v>
      </c>
      <c r="W65" s="111">
        <f t="shared" si="24"/>
        <v>50.08999999999992</v>
      </c>
      <c r="X65" s="155">
        <f t="shared" si="29"/>
        <v>1.1001799999999997</v>
      </c>
      <c r="Y65" s="197">
        <f t="shared" si="16"/>
        <v>0.04118122411493008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f>E67+E68+E70</f>
        <v>866</v>
      </c>
      <c r="F66" s="102">
        <v>120.64</v>
      </c>
      <c r="G66" s="106">
        <v>106.88</v>
      </c>
      <c r="H66" s="102">
        <f t="shared" si="23"/>
        <v>-13.760000000000005</v>
      </c>
      <c r="I66" s="213">
        <f t="shared" si="21"/>
        <v>0.8859416445623342</v>
      </c>
      <c r="J66" s="115">
        <f t="shared" si="25"/>
        <v>-759.12</v>
      </c>
      <c r="K66" s="155">
        <f t="shared" si="22"/>
        <v>0.12341801385681293</v>
      </c>
      <c r="L66" s="115"/>
      <c r="M66" s="115"/>
      <c r="N66" s="115"/>
      <c r="O66" s="115">
        <v>896.22</v>
      </c>
      <c r="P66" s="115">
        <f t="shared" si="26"/>
        <v>-30.220000000000027</v>
      </c>
      <c r="Q66" s="155">
        <f t="shared" si="27"/>
        <v>0.9662806007453527</v>
      </c>
      <c r="R66" s="115">
        <v>89.05</v>
      </c>
      <c r="S66" s="115">
        <f t="shared" si="5"/>
        <v>17.83</v>
      </c>
      <c r="T66" s="155">
        <f t="shared" si="28"/>
        <v>1.2002245929253228</v>
      </c>
      <c r="U66" s="107">
        <f>F66-січень!F66</f>
        <v>74.4</v>
      </c>
      <c r="V66" s="110">
        <f>G66-січень!G66</f>
        <v>60.63999999999999</v>
      </c>
      <c r="W66" s="111">
        <f t="shared" si="24"/>
        <v>-13.760000000000012</v>
      </c>
      <c r="X66" s="155">
        <f t="shared" si="29"/>
        <v>0.8150537634408601</v>
      </c>
      <c r="Y66" s="197">
        <f t="shared" si="16"/>
        <v>0.23394399217997008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97.42</v>
      </c>
      <c r="G67" s="94">
        <v>83.89</v>
      </c>
      <c r="H67" s="71">
        <f t="shared" si="23"/>
        <v>-13.530000000000001</v>
      </c>
      <c r="I67" s="209">
        <f t="shared" si="21"/>
        <v>0.8611168137959351</v>
      </c>
      <c r="J67" s="72">
        <f t="shared" si="25"/>
        <v>-644.3100000000001</v>
      </c>
      <c r="K67" s="75">
        <f t="shared" si="22"/>
        <v>0.11520186761878604</v>
      </c>
      <c r="L67" s="72"/>
      <c r="M67" s="72"/>
      <c r="N67" s="72"/>
      <c r="O67" s="72">
        <v>760.62</v>
      </c>
      <c r="P67" s="72">
        <f t="shared" si="26"/>
        <v>-32.41999999999996</v>
      </c>
      <c r="Q67" s="75">
        <f t="shared" si="27"/>
        <v>0.957376876758434</v>
      </c>
      <c r="R67" s="72">
        <v>73.71</v>
      </c>
      <c r="S67" s="203">
        <f t="shared" si="5"/>
        <v>10.180000000000007</v>
      </c>
      <c r="T67" s="204">
        <f t="shared" si="28"/>
        <v>1.1381088047754715</v>
      </c>
      <c r="U67" s="73">
        <f>F67-січень!F67</f>
        <v>63</v>
      </c>
      <c r="V67" s="98">
        <f>G67-січень!G67</f>
        <v>49.47</v>
      </c>
      <c r="W67" s="74">
        <f t="shared" si="24"/>
        <v>-13.530000000000001</v>
      </c>
      <c r="X67" s="75">
        <f t="shared" si="29"/>
        <v>0.7852380952380952</v>
      </c>
      <c r="Y67" s="197">
        <f t="shared" si="16"/>
        <v>0.18073192801703752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0.04</v>
      </c>
      <c r="H68" s="71">
        <f t="shared" si="23"/>
        <v>0.04</v>
      </c>
      <c r="I68" s="209" t="e">
        <f t="shared" si="21"/>
        <v>#DIV/0!</v>
      </c>
      <c r="J68" s="72">
        <f t="shared" si="25"/>
        <v>-0.96</v>
      </c>
      <c r="K68" s="75">
        <f t="shared" si="22"/>
        <v>0.04</v>
      </c>
      <c r="L68" s="72"/>
      <c r="M68" s="72"/>
      <c r="N68" s="72"/>
      <c r="O68" s="72">
        <v>0.18</v>
      </c>
      <c r="P68" s="72">
        <f t="shared" si="26"/>
        <v>0.8200000000000001</v>
      </c>
      <c r="Q68" s="75">
        <f t="shared" si="27"/>
        <v>5.555555555555555</v>
      </c>
      <c r="R68" s="72">
        <v>0.1</v>
      </c>
      <c r="S68" s="203">
        <f t="shared" si="5"/>
        <v>-0.060000000000000005</v>
      </c>
      <c r="T68" s="204">
        <f t="shared" si="28"/>
        <v>0.39999999999999997</v>
      </c>
      <c r="U68" s="73">
        <f>F68-січень!F68</f>
        <v>0</v>
      </c>
      <c r="V68" s="98">
        <f>G68-січень!G68</f>
        <v>0.04</v>
      </c>
      <c r="W68" s="74">
        <f t="shared" si="24"/>
        <v>0.04</v>
      </c>
      <c r="X68" s="75"/>
      <c r="Y68" s="197">
        <f t="shared" si="16"/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>
        <v>0</v>
      </c>
      <c r="F69" s="71">
        <v>0</v>
      </c>
      <c r="G69" s="94">
        <v>0</v>
      </c>
      <c r="H69" s="71">
        <f t="shared" si="23"/>
        <v>0</v>
      </c>
      <c r="I69" s="209" t="e">
        <f t="shared" si="21"/>
        <v>#DIV/0!</v>
      </c>
      <c r="J69" s="72">
        <f t="shared" si="25"/>
        <v>0</v>
      </c>
      <c r="K69" s="75" t="e">
        <f t="shared" si="22"/>
        <v>#DIV/0!</v>
      </c>
      <c r="L69" s="72"/>
      <c r="M69" s="72"/>
      <c r="N69" s="72"/>
      <c r="O69" s="72">
        <v>0</v>
      </c>
      <c r="P69" s="72">
        <f t="shared" si="26"/>
        <v>0</v>
      </c>
      <c r="Q69" s="75" t="e">
        <f t="shared" si="27"/>
        <v>#DIV/0!</v>
      </c>
      <c r="R69" s="72">
        <f>O69</f>
        <v>0</v>
      </c>
      <c r="S69" s="203">
        <f t="shared" si="5"/>
        <v>0</v>
      </c>
      <c r="T69" s="204" t="e">
        <f t="shared" si="28"/>
        <v>#DIV/0!</v>
      </c>
      <c r="U69" s="73">
        <f>F69-січень!F69</f>
        <v>0</v>
      </c>
      <c r="V69" s="98">
        <f>G69-січень!G69</f>
        <v>0</v>
      </c>
      <c r="W69" s="74">
        <f t="shared" si="24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161</v>
      </c>
      <c r="C70" s="138">
        <v>22090400</v>
      </c>
      <c r="D70" s="233">
        <v>136.8</v>
      </c>
      <c r="E70" s="71">
        <v>136.8</v>
      </c>
      <c r="F70" s="71">
        <v>23.22</v>
      </c>
      <c r="G70" s="94">
        <v>23.15</v>
      </c>
      <c r="H70" s="71">
        <f t="shared" si="23"/>
        <v>-0.07000000000000028</v>
      </c>
      <c r="I70" s="209">
        <f t="shared" si="21"/>
        <v>0.9969853574504737</v>
      </c>
      <c r="J70" s="72">
        <f t="shared" si="25"/>
        <v>-113.65</v>
      </c>
      <c r="K70" s="75">
        <f t="shared" si="22"/>
        <v>0.1692251461988304</v>
      </c>
      <c r="L70" s="72"/>
      <c r="M70" s="72"/>
      <c r="N70" s="72"/>
      <c r="O70" s="72">
        <v>135.42</v>
      </c>
      <c r="P70" s="72">
        <f t="shared" si="26"/>
        <v>1.3800000000000239</v>
      </c>
      <c r="Q70" s="75">
        <f t="shared" si="27"/>
        <v>1.01019051838724</v>
      </c>
      <c r="R70" s="72">
        <v>15.24</v>
      </c>
      <c r="S70" s="203">
        <f t="shared" si="5"/>
        <v>7.909999999999998</v>
      </c>
      <c r="T70" s="204">
        <f t="shared" si="28"/>
        <v>1.519028871391076</v>
      </c>
      <c r="U70" s="73">
        <f>F70-січень!F70</f>
        <v>11.399999999999999</v>
      </c>
      <c r="V70" s="98">
        <f>G70-січень!G70</f>
        <v>11.329999999999998</v>
      </c>
      <c r="W70" s="74">
        <f t="shared" si="24"/>
        <v>-0.07000000000000028</v>
      </c>
      <c r="X70" s="75">
        <f t="shared" si="29"/>
        <v>0.993859649122807</v>
      </c>
      <c r="Y70" s="197">
        <f t="shared" si="16"/>
        <v>0.5088383530038361</v>
      </c>
    </row>
    <row r="71" spans="1:25" s="6" customFormat="1" ht="46.5">
      <c r="A71" s="8"/>
      <c r="B71" s="88" t="s">
        <v>17</v>
      </c>
      <c r="C71" s="11" t="s">
        <v>18</v>
      </c>
      <c r="D71" s="254">
        <v>3</v>
      </c>
      <c r="E71" s="102">
        <v>3</v>
      </c>
      <c r="F71" s="102">
        <v>1.5</v>
      </c>
      <c r="G71" s="106">
        <v>0</v>
      </c>
      <c r="H71" s="102">
        <f t="shared" si="23"/>
        <v>-1.5</v>
      </c>
      <c r="I71" s="213">
        <f t="shared" si="21"/>
        <v>0</v>
      </c>
      <c r="J71" s="115">
        <f t="shared" si="25"/>
        <v>-3</v>
      </c>
      <c r="K71" s="155">
        <f t="shared" si="22"/>
        <v>0</v>
      </c>
      <c r="L71" s="115"/>
      <c r="M71" s="115"/>
      <c r="N71" s="115"/>
      <c r="O71" s="115">
        <v>2.04</v>
      </c>
      <c r="P71" s="115">
        <f t="shared" si="26"/>
        <v>0.96</v>
      </c>
      <c r="Q71" s="155">
        <f t="shared" si="27"/>
        <v>1.4705882352941175</v>
      </c>
      <c r="R71" s="115">
        <v>1.67</v>
      </c>
      <c r="S71" s="115">
        <f t="shared" si="5"/>
        <v>-1.67</v>
      </c>
      <c r="T71" s="155">
        <f t="shared" si="28"/>
        <v>0</v>
      </c>
      <c r="U71" s="107">
        <f>F71-січень!F71</f>
        <v>1.5</v>
      </c>
      <c r="V71" s="110">
        <f>G71-січень!G71</f>
        <v>0</v>
      </c>
      <c r="W71" s="111">
        <f t="shared" si="24"/>
        <v>-1.5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4">
        <v>8170</v>
      </c>
      <c r="E72" s="102">
        <v>8170</v>
      </c>
      <c r="F72" s="102">
        <v>1248.65</v>
      </c>
      <c r="G72" s="106">
        <v>1072.15</v>
      </c>
      <c r="H72" s="102">
        <f t="shared" si="23"/>
        <v>-176.5</v>
      </c>
      <c r="I72" s="213">
        <f t="shared" si="21"/>
        <v>0.8586473391262563</v>
      </c>
      <c r="J72" s="115">
        <f t="shared" si="25"/>
        <v>-7097.85</v>
      </c>
      <c r="K72" s="155">
        <f t="shared" si="22"/>
        <v>0.13123011015911873</v>
      </c>
      <c r="L72" s="115"/>
      <c r="M72" s="115"/>
      <c r="N72" s="115"/>
      <c r="O72" s="115">
        <v>8086.92</v>
      </c>
      <c r="P72" s="115">
        <f t="shared" si="26"/>
        <v>83.07999999999993</v>
      </c>
      <c r="Q72" s="155">
        <f t="shared" si="27"/>
        <v>1.0102733797292418</v>
      </c>
      <c r="R72" s="115">
        <v>2711.43</v>
      </c>
      <c r="S72" s="115">
        <f t="shared" si="5"/>
        <v>-1639.2799999999997</v>
      </c>
      <c r="T72" s="155">
        <f t="shared" si="28"/>
        <v>0.3954186536255777</v>
      </c>
      <c r="U72" s="107">
        <f>F72-січень!F72</f>
        <v>680.0000000000001</v>
      </c>
      <c r="V72" s="110">
        <f>G72-січень!G72</f>
        <v>503.5000000000001</v>
      </c>
      <c r="W72" s="111">
        <f t="shared" si="24"/>
        <v>-176.5</v>
      </c>
      <c r="X72" s="155">
        <f t="shared" si="29"/>
        <v>0.7404411764705883</v>
      </c>
      <c r="Y72" s="197">
        <f t="shared" si="16"/>
        <v>-0.6148547261036641</v>
      </c>
    </row>
    <row r="73" spans="1:25" s="6" customFormat="1" ht="18" hidden="1">
      <c r="A73" s="8"/>
      <c r="B73" s="12" t="s">
        <v>22</v>
      </c>
      <c r="C73" s="49" t="s">
        <v>23</v>
      </c>
      <c r="D73" s="236"/>
      <c r="E73" s="24">
        <v>0</v>
      </c>
      <c r="F73" s="24">
        <v>0</v>
      </c>
      <c r="G73" s="93">
        <v>0</v>
      </c>
      <c r="H73" s="102">
        <f t="shared" si="23"/>
        <v>0</v>
      </c>
      <c r="I73" s="213" t="e">
        <f>G73/F73*100</f>
        <v>#DIV/0!</v>
      </c>
      <c r="J73" s="115">
        <f t="shared" si="25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8"/>
        <v>#DIV/0!</v>
      </c>
      <c r="U73" s="107">
        <f>F73-січень!F73</f>
        <v>0</v>
      </c>
      <c r="V73" s="110">
        <f>G73-січень!G73</f>
        <v>0</v>
      </c>
      <c r="W73" s="111">
        <f t="shared" si="24"/>
        <v>0</v>
      </c>
      <c r="X73" s="155" t="e">
        <f t="shared" si="29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6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8"/>
        <v>0</v>
      </c>
      <c r="U74" s="107">
        <f>F74-січень!F74</f>
        <v>0</v>
      </c>
      <c r="V74" s="110">
        <f>G74-січень!G74</f>
        <v>0</v>
      </c>
      <c r="W74" s="116">
        <f t="shared" si="24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7"/>
      <c r="E75" s="27">
        <v>0</v>
      </c>
      <c r="F75" s="27">
        <v>0</v>
      </c>
      <c r="G75" s="95">
        <v>0</v>
      </c>
      <c r="H75" s="102">
        <f t="shared" si="23"/>
        <v>0</v>
      </c>
      <c r="I75" s="213" t="e">
        <f>G75/F75*100</f>
        <v>#DIV/0!</v>
      </c>
      <c r="J75" s="115">
        <f t="shared" si="25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8"/>
        <v>#DIV/0!</v>
      </c>
      <c r="U75" s="107">
        <f>F75-січень!F75</f>
        <v>0</v>
      </c>
      <c r="V75" s="110">
        <f>G75-січень!G75</f>
        <v>0</v>
      </c>
      <c r="W75" s="111">
        <f t="shared" si="24"/>
        <v>0</v>
      </c>
      <c r="X75" s="155" t="e">
        <f t="shared" si="29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3"/>
        <v>0</v>
      </c>
      <c r="I76" s="213" t="e">
        <f>G76/F76</f>
        <v>#DIV/0!</v>
      </c>
      <c r="J76" s="115">
        <f t="shared" si="25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8"/>
        <v>0</v>
      </c>
      <c r="U76" s="107">
        <f>F76-січень!F76</f>
        <v>0</v>
      </c>
      <c r="V76" s="110">
        <f>G76-січень!G76</f>
        <v>0</v>
      </c>
      <c r="W76" s="111">
        <f t="shared" si="24"/>
        <v>0</v>
      </c>
      <c r="X76" s="155" t="e">
        <f t="shared" si="29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6.67</v>
      </c>
      <c r="G77" s="106">
        <v>4.74</v>
      </c>
      <c r="H77" s="102">
        <f t="shared" si="23"/>
        <v>-1.9299999999999997</v>
      </c>
      <c r="I77" s="213">
        <f>G77/F77</f>
        <v>0.7106446776611695</v>
      </c>
      <c r="J77" s="115">
        <f t="shared" si="25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8.6</v>
      </c>
      <c r="S77" s="115">
        <f t="shared" si="5"/>
        <v>-3.8599999999999994</v>
      </c>
      <c r="T77" s="155">
        <f t="shared" si="28"/>
        <v>0.5511627906976745</v>
      </c>
      <c r="U77" s="107">
        <f>F77-січень!F77</f>
        <v>2.9</v>
      </c>
      <c r="V77" s="110">
        <f>G77-січень!G77</f>
        <v>0.9700000000000002</v>
      </c>
      <c r="W77" s="111">
        <f t="shared" si="24"/>
        <v>-1.9299999999999997</v>
      </c>
      <c r="X77" s="155">
        <f t="shared" si="29"/>
        <v>0.3344827586206897</v>
      </c>
      <c r="Y77" s="197">
        <f t="shared" si="16"/>
        <v>-0.4716308972041373</v>
      </c>
    </row>
    <row r="78" spans="1:25" s="6" customFormat="1" ht="30.75">
      <c r="A78" s="8"/>
      <c r="B78" s="89" t="s">
        <v>49</v>
      </c>
      <c r="C78" s="34">
        <v>31020000</v>
      </c>
      <c r="D78" s="228"/>
      <c r="E78" s="102">
        <v>0</v>
      </c>
      <c r="F78" s="102">
        <f>E78</f>
        <v>0</v>
      </c>
      <c r="G78" s="106">
        <v>0.11</v>
      </c>
      <c r="H78" s="102">
        <f t="shared" si="23"/>
        <v>0.11</v>
      </c>
      <c r="I78" s="213" t="e">
        <f>G78/F78</f>
        <v>#DIV/0!</v>
      </c>
      <c r="J78" s="115">
        <f t="shared" si="25"/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5.44</v>
      </c>
      <c r="T78" s="155">
        <f t="shared" si="28"/>
        <v>-0.020637898686679174</v>
      </c>
      <c r="U78" s="107">
        <f>F78-січень!F78</f>
        <v>0</v>
      </c>
      <c r="V78" s="110">
        <f>G78-січень!G78</f>
        <v>0.11</v>
      </c>
      <c r="W78" s="111">
        <f t="shared" si="24"/>
        <v>0.11</v>
      </c>
      <c r="X78" s="155"/>
      <c r="Y78" s="197">
        <f t="shared" si="16"/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248803.65700000004</v>
      </c>
      <c r="G79" s="103">
        <f>G8+G53+G77+G78</f>
        <v>248842.44999999995</v>
      </c>
      <c r="H79" s="103">
        <f>G79-F79</f>
        <v>38.79299999991781</v>
      </c>
      <c r="I79" s="210">
        <f>G79/F79</f>
        <v>1.0001559181262352</v>
      </c>
      <c r="J79" s="104">
        <f>G79-E79</f>
        <v>-1379075.25</v>
      </c>
      <c r="K79" s="156">
        <f>G79/E79</f>
        <v>0.15285935523644711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203526.37</v>
      </c>
      <c r="S79" s="104">
        <f>G79-R79</f>
        <v>45316.07999999996</v>
      </c>
      <c r="T79" s="156">
        <f>G79/R79</f>
        <v>1.2226545877077253</v>
      </c>
      <c r="U79" s="103">
        <f>U8+U53+U77+U78</f>
        <v>133525.108</v>
      </c>
      <c r="V79" s="103">
        <f>V8+V53+V77+V78</f>
        <v>133563.91</v>
      </c>
      <c r="W79" s="135">
        <f>V79-U79</f>
        <v>38.80199999999604</v>
      </c>
      <c r="X79" s="156">
        <f>V79/U79</f>
        <v>1.0002905970313838</v>
      </c>
      <c r="Y79" s="197">
        <f t="shared" si="16"/>
        <v>0.05902212219026426</v>
      </c>
    </row>
    <row r="80" spans="1:25" s="39" customFormat="1" ht="17.25" hidden="1">
      <c r="A80" s="36"/>
      <c r="B80" s="43"/>
      <c r="C80" s="51"/>
      <c r="D80" s="238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8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8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39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F84-січень!F84</f>
        <v>0</v>
      </c>
      <c r="V84" s="110">
        <f>G84-січень!G84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F85-січень!F85</f>
        <v>0</v>
      </c>
      <c r="V85" s="110">
        <f>G85-січень!G85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0" ref="S86:S98">G86-R86</f>
        <v>0.01</v>
      </c>
      <c r="T86" s="151" t="e">
        <f aca="true" t="shared" si="31" ref="T86:T101">G86/R86</f>
        <v>#DIV/0!</v>
      </c>
      <c r="U86" s="129">
        <f>F86-січень!F86</f>
        <v>0</v>
      </c>
      <c r="V86" s="174">
        <f>G86-січень!G86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32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3" ref="P87:P98">E87-O87</f>
        <v>-35.57</v>
      </c>
      <c r="Q87" s="151">
        <f aca="true" t="shared" si="34" ref="Q87:Q98">E87/O87</f>
        <v>0</v>
      </c>
      <c r="R87" s="131">
        <v>11.81</v>
      </c>
      <c r="S87" s="131">
        <f t="shared" si="30"/>
        <v>-11.81</v>
      </c>
      <c r="T87" s="147"/>
      <c r="U87" s="129">
        <f>F87-січень!F87</f>
        <v>0</v>
      </c>
      <c r="V87" s="174">
        <f>G87-січень!G87</f>
        <v>0</v>
      </c>
      <c r="W87" s="131">
        <f aca="true" t="shared" si="35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806.44</v>
      </c>
      <c r="H88" s="112">
        <f t="shared" si="32"/>
        <v>0.011000000000080945</v>
      </c>
      <c r="I88" s="213">
        <f>G88/F88</f>
        <v>1.0000136403824764</v>
      </c>
      <c r="J88" s="117">
        <f>G88-E88</f>
        <v>-4193.5599999999995</v>
      </c>
      <c r="K88" s="147">
        <f>G88/E88</f>
        <v>0.16128800000000001</v>
      </c>
      <c r="L88" s="117"/>
      <c r="M88" s="117"/>
      <c r="N88" s="117"/>
      <c r="O88" s="117">
        <v>938.14</v>
      </c>
      <c r="P88" s="117">
        <f t="shared" si="33"/>
        <v>4061.86</v>
      </c>
      <c r="Q88" s="147">
        <f t="shared" si="34"/>
        <v>5.329694928262306</v>
      </c>
      <c r="R88" s="117">
        <v>0.04</v>
      </c>
      <c r="S88" s="117">
        <f t="shared" si="30"/>
        <v>806.4000000000001</v>
      </c>
      <c r="T88" s="147">
        <f t="shared" si="31"/>
        <v>20161</v>
      </c>
      <c r="U88" s="112">
        <f>F88-січень!F88</f>
        <v>0</v>
      </c>
      <c r="V88" s="118">
        <f>G88-січень!G88</f>
        <v>0.010000000000104592</v>
      </c>
      <c r="W88" s="117">
        <f t="shared" si="35"/>
        <v>0.010000000000104592</v>
      </c>
      <c r="X88" s="147" t="e">
        <f>V88/U88</f>
        <v>#DIV/0!</v>
      </c>
      <c r="Y88" s="197">
        <f t="shared" si="16"/>
        <v>20155.670305071737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1015</v>
      </c>
      <c r="G89" s="126">
        <v>194.45</v>
      </c>
      <c r="H89" s="112">
        <f t="shared" si="32"/>
        <v>-820.55</v>
      </c>
      <c r="I89" s="213">
        <f>G89/F89</f>
        <v>0.19157635467980294</v>
      </c>
      <c r="J89" s="117">
        <f aca="true" t="shared" si="36" ref="J89:J98">G89-E89</f>
        <v>-16254.55</v>
      </c>
      <c r="K89" s="147">
        <f>G89/E89</f>
        <v>0.011821387318378016</v>
      </c>
      <c r="L89" s="117"/>
      <c r="M89" s="117"/>
      <c r="N89" s="117"/>
      <c r="O89" s="117">
        <v>8143.65</v>
      </c>
      <c r="P89" s="117">
        <f t="shared" si="33"/>
        <v>8305.35</v>
      </c>
      <c r="Q89" s="147">
        <f t="shared" si="34"/>
        <v>2.0198559613932328</v>
      </c>
      <c r="R89" s="117">
        <v>1.9</v>
      </c>
      <c r="S89" s="117">
        <f t="shared" si="30"/>
        <v>192.54999999999998</v>
      </c>
      <c r="T89" s="147">
        <f t="shared" si="31"/>
        <v>102.34210526315789</v>
      </c>
      <c r="U89" s="112">
        <f>F89-січень!F89</f>
        <v>1000</v>
      </c>
      <c r="V89" s="118">
        <f>G89-січень!G89</f>
        <v>179.45</v>
      </c>
      <c r="W89" s="117">
        <f t="shared" si="35"/>
        <v>-820.55</v>
      </c>
      <c r="X89" s="147">
        <f>V89/U89</f>
        <v>0.17945</v>
      </c>
      <c r="Y89" s="197">
        <f t="shared" si="16"/>
        <v>100.32224930176466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3000</v>
      </c>
      <c r="G90" s="126">
        <v>331.15</v>
      </c>
      <c r="H90" s="112">
        <f t="shared" si="32"/>
        <v>-2668.85</v>
      </c>
      <c r="I90" s="213">
        <f>G90/F90</f>
        <v>0.11038333333333332</v>
      </c>
      <c r="J90" s="117">
        <f t="shared" si="36"/>
        <v>-21668.85</v>
      </c>
      <c r="K90" s="147">
        <f>G90/E90</f>
        <v>0.015052272727272727</v>
      </c>
      <c r="L90" s="117"/>
      <c r="M90" s="117"/>
      <c r="N90" s="117"/>
      <c r="O90" s="117">
        <v>17305.88</v>
      </c>
      <c r="P90" s="117">
        <f t="shared" si="33"/>
        <v>4694.119999999999</v>
      </c>
      <c r="Q90" s="147">
        <f t="shared" si="34"/>
        <v>1.2712442245063527</v>
      </c>
      <c r="R90" s="117">
        <v>90.12</v>
      </c>
      <c r="S90" s="117">
        <f t="shared" si="30"/>
        <v>241.02999999999997</v>
      </c>
      <c r="T90" s="147">
        <f t="shared" si="31"/>
        <v>3.674545051043053</v>
      </c>
      <c r="U90" s="112">
        <f>F90-січень!F90</f>
        <v>2843</v>
      </c>
      <c r="V90" s="118">
        <f>G90-січень!G90</f>
        <v>174.14</v>
      </c>
      <c r="W90" s="117">
        <f t="shared" si="35"/>
        <v>-2668.86</v>
      </c>
      <c r="X90" s="147">
        <f>V90/U90</f>
        <v>0.06125219838199085</v>
      </c>
      <c r="Y90" s="197">
        <f t="shared" si="16"/>
        <v>2.4033008265367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4</v>
      </c>
      <c r="G91" s="126">
        <v>2</v>
      </c>
      <c r="H91" s="112">
        <f t="shared" si="32"/>
        <v>-2</v>
      </c>
      <c r="I91" s="213">
        <f>G91/F91</f>
        <v>0.5</v>
      </c>
      <c r="J91" s="117">
        <f t="shared" si="36"/>
        <v>-22</v>
      </c>
      <c r="K91" s="147">
        <f>G91/E91</f>
        <v>0.08333333333333333</v>
      </c>
      <c r="L91" s="117"/>
      <c r="M91" s="117"/>
      <c r="N91" s="117"/>
      <c r="O91" s="117">
        <v>20</v>
      </c>
      <c r="P91" s="117">
        <f t="shared" si="33"/>
        <v>4</v>
      </c>
      <c r="Q91" s="147">
        <f t="shared" si="34"/>
        <v>1.2</v>
      </c>
      <c r="R91" s="117">
        <v>1</v>
      </c>
      <c r="S91" s="117">
        <f t="shared" si="30"/>
        <v>1</v>
      </c>
      <c r="T91" s="147">
        <f t="shared" si="31"/>
        <v>2</v>
      </c>
      <c r="U91" s="112">
        <f>F91-січень!F91</f>
        <v>3</v>
      </c>
      <c r="V91" s="118">
        <f>G91-січень!G91</f>
        <v>1</v>
      </c>
      <c r="W91" s="117">
        <f t="shared" si="35"/>
        <v>-2</v>
      </c>
      <c r="X91" s="147">
        <f>V91/U91</f>
        <v>0.3333333333333333</v>
      </c>
      <c r="Y91" s="197">
        <f t="shared" si="16"/>
        <v>0.8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4825.429</v>
      </c>
      <c r="G92" s="128">
        <f>G88+G89+G90+G91</f>
        <v>1334.04</v>
      </c>
      <c r="H92" s="129">
        <f t="shared" si="32"/>
        <v>-3491.389</v>
      </c>
      <c r="I92" s="216">
        <f>G92/F92</f>
        <v>0.27646039346967904</v>
      </c>
      <c r="J92" s="131">
        <f t="shared" si="36"/>
        <v>-42138.96</v>
      </c>
      <c r="K92" s="151">
        <f>G92/E92</f>
        <v>0.030686633082602995</v>
      </c>
      <c r="L92" s="131"/>
      <c r="M92" s="131"/>
      <c r="N92" s="131"/>
      <c r="O92" s="131">
        <v>26407.66</v>
      </c>
      <c r="P92" s="131">
        <f t="shared" si="33"/>
        <v>17065.34</v>
      </c>
      <c r="Q92" s="151">
        <f t="shared" si="34"/>
        <v>1.6462268902280626</v>
      </c>
      <c r="R92" s="131">
        <v>93.06</v>
      </c>
      <c r="S92" s="117">
        <f t="shared" si="30"/>
        <v>1240.98</v>
      </c>
      <c r="T92" s="147">
        <f t="shared" si="31"/>
        <v>14.335267569310123</v>
      </c>
      <c r="U92" s="129">
        <f>F92-січень!F92</f>
        <v>3846</v>
      </c>
      <c r="V92" s="174">
        <f>G92-січень!G92</f>
        <v>354.6</v>
      </c>
      <c r="W92" s="131">
        <f t="shared" si="35"/>
        <v>-3491.4</v>
      </c>
      <c r="X92" s="151">
        <f>V92/U92</f>
        <v>0.09219968798751951</v>
      </c>
      <c r="Y92" s="197">
        <f t="shared" si="16"/>
        <v>12.68904067908206</v>
      </c>
      <c r="AB92" s="4" t="s">
        <v>160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3</v>
      </c>
      <c r="G93" s="126">
        <v>0.02</v>
      </c>
      <c r="H93" s="112">
        <f t="shared" si="32"/>
        <v>-2.98</v>
      </c>
      <c r="I93" s="213"/>
      <c r="J93" s="117">
        <f t="shared" si="36"/>
        <v>-42.98</v>
      </c>
      <c r="K93" s="147"/>
      <c r="L93" s="117"/>
      <c r="M93" s="117"/>
      <c r="N93" s="117"/>
      <c r="O93" s="117">
        <v>49.17</v>
      </c>
      <c r="P93" s="117">
        <f t="shared" si="33"/>
        <v>-6.170000000000002</v>
      </c>
      <c r="Q93" s="147">
        <f t="shared" si="34"/>
        <v>0.8745169818995322</v>
      </c>
      <c r="R93" s="117">
        <v>0</v>
      </c>
      <c r="S93" s="117">
        <f t="shared" si="30"/>
        <v>0.02</v>
      </c>
      <c r="T93" s="147" t="e">
        <f t="shared" si="31"/>
        <v>#DIV/0!</v>
      </c>
      <c r="U93" s="112">
        <f>F93-січень!F93</f>
        <v>3</v>
      </c>
      <c r="V93" s="118">
        <f>G93-січень!G93</f>
        <v>0.01</v>
      </c>
      <c r="W93" s="117">
        <f t="shared" si="35"/>
        <v>-2.99</v>
      </c>
      <c r="X93" s="147"/>
      <c r="Y93" s="197" t="e">
        <f t="shared" si="16"/>
        <v>#DIV/0!</v>
      </c>
    </row>
    <row r="94" spans="2:25" ht="18" hidden="1">
      <c r="B94" s="166" t="s">
        <v>47</v>
      </c>
      <c r="C94" s="58">
        <v>24061600</v>
      </c>
      <c r="D94" s="255"/>
      <c r="E94" s="125">
        <v>0</v>
      </c>
      <c r="F94" s="125">
        <f>E94</f>
        <v>0</v>
      </c>
      <c r="G94" s="126">
        <v>0</v>
      </c>
      <c r="H94" s="112">
        <f t="shared" si="32"/>
        <v>0</v>
      </c>
      <c r="I94" s="213"/>
      <c r="J94" s="117">
        <f t="shared" si="36"/>
        <v>0</v>
      </c>
      <c r="K94" s="224"/>
      <c r="L94" s="134"/>
      <c r="M94" s="134"/>
      <c r="N94" s="134"/>
      <c r="O94" s="134"/>
      <c r="P94" s="117">
        <f t="shared" si="33"/>
        <v>0</v>
      </c>
      <c r="Q94" s="147" t="e">
        <f t="shared" si="34"/>
        <v>#DIV/0!</v>
      </c>
      <c r="R94" s="117">
        <f>O94</f>
        <v>0</v>
      </c>
      <c r="S94" s="117">
        <f t="shared" si="30"/>
        <v>0</v>
      </c>
      <c r="T94" s="147" t="e">
        <f t="shared" si="31"/>
        <v>#DIV/0!</v>
      </c>
      <c r="U94" s="112">
        <f>F94-січень!F94</f>
        <v>0</v>
      </c>
      <c r="V94" s="118">
        <f>G94-січень!G94</f>
        <v>0</v>
      </c>
      <c r="W94" s="117">
        <f t="shared" si="35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2818.75</v>
      </c>
      <c r="G95" s="126">
        <v>2378.24</v>
      </c>
      <c r="H95" s="112">
        <f t="shared" si="32"/>
        <v>-440.5100000000002</v>
      </c>
      <c r="I95" s="213">
        <f>G95/F95</f>
        <v>0.8437215077605321</v>
      </c>
      <c r="J95" s="117">
        <f t="shared" si="36"/>
        <v>-6671.76</v>
      </c>
      <c r="K95" s="147">
        <f>G95/E95</f>
        <v>0.26278895027624305</v>
      </c>
      <c r="L95" s="117"/>
      <c r="M95" s="117"/>
      <c r="N95" s="117"/>
      <c r="O95" s="117">
        <v>8033.94</v>
      </c>
      <c r="P95" s="117">
        <f t="shared" si="33"/>
        <v>1016.0600000000004</v>
      </c>
      <c r="Q95" s="147">
        <f t="shared" si="34"/>
        <v>1.1264709470073215</v>
      </c>
      <c r="R95" s="117">
        <v>11.48</v>
      </c>
      <c r="S95" s="117">
        <f t="shared" si="30"/>
        <v>2366.7599999999998</v>
      </c>
      <c r="T95" s="147">
        <f t="shared" si="31"/>
        <v>207.16376306620205</v>
      </c>
      <c r="U95" s="112">
        <f>F95-січень!F95</f>
        <v>2356</v>
      </c>
      <c r="V95" s="118">
        <f>G95-січень!G95</f>
        <v>1914.9999999999998</v>
      </c>
      <c r="W95" s="117">
        <f t="shared" si="35"/>
        <v>-441.0000000000002</v>
      </c>
      <c r="X95" s="147">
        <f>V95/U95</f>
        <v>0.812818336162988</v>
      </c>
      <c r="Y95" s="197">
        <f t="shared" si="16"/>
        <v>206.03729211919472</v>
      </c>
    </row>
    <row r="96" spans="2:25" ht="31.5" hidden="1">
      <c r="B96" s="20" t="s">
        <v>45</v>
      </c>
      <c r="C96" s="58">
        <v>19050000</v>
      </c>
      <c r="D96" s="241"/>
      <c r="E96" s="125">
        <v>0</v>
      </c>
      <c r="F96" s="125">
        <v>0</v>
      </c>
      <c r="G96" s="126">
        <v>0</v>
      </c>
      <c r="H96" s="112">
        <f t="shared" si="32"/>
        <v>0</v>
      </c>
      <c r="I96" s="213"/>
      <c r="J96" s="117">
        <f t="shared" si="36"/>
        <v>0</v>
      </c>
      <c r="K96" s="147"/>
      <c r="L96" s="117"/>
      <c r="M96" s="117"/>
      <c r="N96" s="117"/>
      <c r="O96" s="117">
        <v>0.1</v>
      </c>
      <c r="P96" s="117">
        <f t="shared" si="33"/>
        <v>-0.1</v>
      </c>
      <c r="Q96" s="147">
        <f t="shared" si="34"/>
        <v>0</v>
      </c>
      <c r="R96" s="117">
        <v>0</v>
      </c>
      <c r="S96" s="117">
        <f t="shared" si="30"/>
        <v>0</v>
      </c>
      <c r="T96" s="147" t="e">
        <f t="shared" si="31"/>
        <v>#DIV/0!</v>
      </c>
      <c r="U96" s="112">
        <f>F96-січень!F96</f>
        <v>0</v>
      </c>
      <c r="V96" s="118">
        <f>G96-січень!G96</f>
        <v>0</v>
      </c>
      <c r="W96" s="117">
        <f t="shared" si="35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2821.75</v>
      </c>
      <c r="G97" s="128">
        <f>G93+G96+G94+G95</f>
        <v>2378.2599999999998</v>
      </c>
      <c r="H97" s="129">
        <f t="shared" si="32"/>
        <v>-443.49000000000024</v>
      </c>
      <c r="I97" s="216">
        <f>G97/F97</f>
        <v>0.8428315761495525</v>
      </c>
      <c r="J97" s="131">
        <f t="shared" si="36"/>
        <v>-6714.74</v>
      </c>
      <c r="K97" s="151">
        <f>G97/E97</f>
        <v>0.26154844385791265</v>
      </c>
      <c r="L97" s="131"/>
      <c r="M97" s="131"/>
      <c r="N97" s="131"/>
      <c r="O97" s="131">
        <v>8083.21</v>
      </c>
      <c r="P97" s="131">
        <f t="shared" si="33"/>
        <v>1009.79</v>
      </c>
      <c r="Q97" s="151">
        <f t="shared" si="34"/>
        <v>1.1249243802895137</v>
      </c>
      <c r="R97" s="131">
        <v>11.82</v>
      </c>
      <c r="S97" s="117">
        <f t="shared" si="30"/>
        <v>2366.4399999999996</v>
      </c>
      <c r="T97" s="147">
        <f t="shared" si="31"/>
        <v>201.20642978003383</v>
      </c>
      <c r="U97" s="129">
        <f>F97-січень!F97</f>
        <v>2359</v>
      </c>
      <c r="V97" s="174">
        <f>G97-січень!G97</f>
        <v>1915.0099999999998</v>
      </c>
      <c r="W97" s="131">
        <f t="shared" si="35"/>
        <v>-443.99000000000024</v>
      </c>
      <c r="X97" s="151">
        <f>V97/U97</f>
        <v>0.8117888935989825</v>
      </c>
      <c r="Y97" s="197">
        <f t="shared" si="16"/>
        <v>200.08150539974432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3.46</v>
      </c>
      <c r="G98" s="126">
        <v>3.78</v>
      </c>
      <c r="H98" s="112">
        <f t="shared" si="32"/>
        <v>0.31999999999999984</v>
      </c>
      <c r="I98" s="213">
        <f>G98/F98</f>
        <v>1.092485549132948</v>
      </c>
      <c r="J98" s="117">
        <f t="shared" si="36"/>
        <v>-15.633000000000001</v>
      </c>
      <c r="K98" s="147">
        <f>G98/E98</f>
        <v>0.19471488178025034</v>
      </c>
      <c r="L98" s="117"/>
      <c r="M98" s="117"/>
      <c r="N98" s="117"/>
      <c r="O98" s="117">
        <v>37.96</v>
      </c>
      <c r="P98" s="117">
        <f t="shared" si="33"/>
        <v>-18.547</v>
      </c>
      <c r="Q98" s="147">
        <f t="shared" si="34"/>
        <v>0.5114067439409905</v>
      </c>
      <c r="R98" s="131">
        <v>0.34</v>
      </c>
      <c r="S98" s="117">
        <f t="shared" si="30"/>
        <v>3.44</v>
      </c>
      <c r="T98" s="147">
        <f t="shared" si="31"/>
        <v>11.117647058823527</v>
      </c>
      <c r="U98" s="112">
        <f>F98-січень!F98</f>
        <v>1.7644199999999999</v>
      </c>
      <c r="V98" s="118">
        <f>G98-січень!G98</f>
        <v>2.08</v>
      </c>
      <c r="W98" s="117">
        <f t="shared" si="35"/>
        <v>0.3155800000000002</v>
      </c>
      <c r="X98" s="147">
        <f>V98/U98</f>
        <v>1.1788576416046068</v>
      </c>
      <c r="Y98" s="197">
        <f t="shared" si="16"/>
        <v>10.606240314882537</v>
      </c>
    </row>
    <row r="99" spans="2:25" ht="18" hidden="1">
      <c r="B99" s="83"/>
      <c r="C99" s="34">
        <v>21110000</v>
      </c>
      <c r="D99" s="228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1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7650.639</v>
      </c>
      <c r="G100" s="183">
        <f>G86+G87+G92+G97+G98</f>
        <v>3716.0899999999997</v>
      </c>
      <c r="H100" s="184">
        <f>G100-F100</f>
        <v>-3934.5490000000004</v>
      </c>
      <c r="I100" s="217">
        <f>G100/F100</f>
        <v>0.48572282655082794</v>
      </c>
      <c r="J100" s="177">
        <f>G100-E100</f>
        <v>-48869.323000000004</v>
      </c>
      <c r="K100" s="178">
        <f>G100/E100</f>
        <v>0.07066769638188446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3599.0599999999995</v>
      </c>
      <c r="T100" s="178">
        <f t="shared" si="31"/>
        <v>31.75331111680765</v>
      </c>
      <c r="U100" s="183">
        <f>U86+U87+U92+U97+U98</f>
        <v>6206.76442</v>
      </c>
      <c r="V100" s="183">
        <f>V86+V87+V92+V97+V98</f>
        <v>2271.6899999999996</v>
      </c>
      <c r="W100" s="177">
        <f>V100-U100</f>
        <v>-3935.074420000001</v>
      </c>
      <c r="X100" s="178">
        <f>V100/U100</f>
        <v>0.3660022914161127</v>
      </c>
      <c r="Y100" s="197">
        <f>T100-Q100</f>
        <v>30.23182037718407</v>
      </c>
    </row>
    <row r="101" spans="2:25" ht="17.25">
      <c r="B101" s="185" t="s">
        <v>103</v>
      </c>
      <c r="C101" s="182"/>
      <c r="D101" s="250">
        <f>D79+D100</f>
        <v>1680503.113</v>
      </c>
      <c r="E101" s="183">
        <f>E79+E100</f>
        <v>1680503.113</v>
      </c>
      <c r="F101" s="183">
        <f>F79+F100</f>
        <v>256454.29600000003</v>
      </c>
      <c r="G101" s="183">
        <f>G79+G100</f>
        <v>252558.53999999995</v>
      </c>
      <c r="H101" s="184">
        <f>G101-F101</f>
        <v>-3895.7560000000813</v>
      </c>
      <c r="I101" s="217">
        <f>G101/F101</f>
        <v>0.9848091606934902</v>
      </c>
      <c r="J101" s="177">
        <f>G101-E101</f>
        <v>-1427944.5729999999</v>
      </c>
      <c r="K101" s="178">
        <f>G101/E101</f>
        <v>0.1502874573966945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203643.4</v>
      </c>
      <c r="S101" s="177">
        <f>S79+S100</f>
        <v>48915.139999999956</v>
      </c>
      <c r="T101" s="178">
        <f t="shared" si="31"/>
        <v>1.240199977018651</v>
      </c>
      <c r="U101" s="184">
        <f>U79+U100</f>
        <v>139731.87242</v>
      </c>
      <c r="V101" s="184">
        <f>V79+V100</f>
        <v>135835.6</v>
      </c>
      <c r="W101" s="177">
        <f>V101-U101</f>
        <v>-3896.272419999994</v>
      </c>
      <c r="X101" s="178">
        <f>V101/U101</f>
        <v>0.9721160795134216</v>
      </c>
      <c r="Y101" s="197">
        <f>T101-Q101</f>
        <v>0.06793987775501664</v>
      </c>
    </row>
    <row r="102" spans="2:24" ht="15" hidden="1">
      <c r="B102" s="258" t="s">
        <v>142</v>
      </c>
      <c r="D102" s="4"/>
      <c r="F102" s="78"/>
      <c r="G102" s="4"/>
      <c r="U102" s="226"/>
      <c r="V102" s="226"/>
      <c r="W102" s="226"/>
      <c r="X102" s="226"/>
    </row>
    <row r="103" spans="2:24" ht="15" hidden="1">
      <c r="B103" s="4" t="s">
        <v>143</v>
      </c>
      <c r="C103" s="259">
        <v>0</v>
      </c>
      <c r="D103" s="4" t="s">
        <v>144</v>
      </c>
      <c r="F103" s="78"/>
      <c r="G103" s="4"/>
      <c r="U103" s="226"/>
      <c r="V103" s="226"/>
      <c r="W103" s="226"/>
      <c r="X103" s="226"/>
    </row>
    <row r="104" spans="2:22" ht="30.75" hidden="1">
      <c r="B104" s="261" t="s">
        <v>145</v>
      </c>
      <c r="C104" s="262"/>
      <c r="D104" s="4" t="s">
        <v>24</v>
      </c>
      <c r="F104" s="78"/>
      <c r="G104" s="262">
        <f>IF(H79&lt;0,ABS(H79/C103),0)</f>
        <v>0</v>
      </c>
      <c r="H104" s="263"/>
      <c r="I104" s="263"/>
      <c r="J104" s="263"/>
      <c r="V104" s="262">
        <f>IF(W79&lt;0,ABS(W79/C103),0)</f>
        <v>0</v>
      </c>
    </row>
    <row r="105" spans="2:7" ht="30.75" hidden="1">
      <c r="B105" s="264" t="s">
        <v>146</v>
      </c>
      <c r="C105" s="265">
        <v>43159</v>
      </c>
      <c r="D105" s="262"/>
      <c r="E105" s="262">
        <v>14510.3</v>
      </c>
      <c r="F105" s="78"/>
      <c r="G105" s="4" t="s">
        <v>147</v>
      </c>
    </row>
    <row r="106" spans="3:10" ht="15" hidden="1">
      <c r="C106" s="265">
        <v>43158</v>
      </c>
      <c r="D106" s="262"/>
      <c r="E106" s="262">
        <v>11132</v>
      </c>
      <c r="F106" s="78"/>
      <c r="G106" s="387"/>
      <c r="H106" s="387"/>
      <c r="I106" s="267"/>
      <c r="J106" s="268"/>
    </row>
    <row r="107" spans="3:10" ht="15" hidden="1">
      <c r="C107" s="265">
        <v>43157</v>
      </c>
      <c r="D107" s="262"/>
      <c r="E107" s="262">
        <v>4296.6</v>
      </c>
      <c r="F107" s="78"/>
      <c r="G107" s="387"/>
      <c r="H107" s="387"/>
      <c r="I107" s="267"/>
      <c r="J107" s="269"/>
    </row>
    <row r="108" spans="3:10" ht="15" hidden="1">
      <c r="C108" s="265"/>
      <c r="D108" s="4"/>
      <c r="F108" s="270"/>
      <c r="G108" s="388"/>
      <c r="H108" s="388"/>
      <c r="I108" s="271"/>
      <c r="J108" s="268"/>
    </row>
    <row r="109" spans="2:10" ht="16.5" hidden="1">
      <c r="B109" s="389" t="s">
        <v>148</v>
      </c>
      <c r="C109" s="390"/>
      <c r="D109" s="272"/>
      <c r="E109" s="324">
        <v>144.8304</v>
      </c>
      <c r="F109" s="274" t="s">
        <v>149</v>
      </c>
      <c r="G109" s="387"/>
      <c r="H109" s="387"/>
      <c r="I109" s="275"/>
      <c r="J109" s="268"/>
    </row>
    <row r="110" spans="4:10" ht="15">
      <c r="D110" s="4"/>
      <c r="F110" s="270"/>
      <c r="G110" s="387"/>
      <c r="H110" s="387"/>
      <c r="I110" s="270"/>
      <c r="J110" s="273"/>
    </row>
    <row r="111" spans="2:10" ht="15" customHeight="1" hidden="1">
      <c r="B111" s="386"/>
      <c r="C111" s="386"/>
      <c r="D111" s="277"/>
      <c r="E111" s="278"/>
      <c r="F111" s="270"/>
      <c r="G111" s="387"/>
      <c r="H111" s="387"/>
      <c r="I111" s="270"/>
      <c r="J111" s="273"/>
    </row>
    <row r="112" spans="2:24" ht="15" hidden="1">
      <c r="B112" s="279" t="s">
        <v>150</v>
      </c>
      <c r="D112" s="270">
        <f>D60+D63+D64</f>
        <v>2095</v>
      </c>
      <c r="E112" s="270">
        <f aca="true" t="shared" si="37" ref="E112:W112">E60+E63+E64</f>
        <v>2095</v>
      </c>
      <c r="F112" s="270">
        <f t="shared" si="37"/>
        <v>309</v>
      </c>
      <c r="G112" s="325">
        <f t="shared" si="37"/>
        <v>305.58</v>
      </c>
      <c r="H112" s="270">
        <f t="shared" si="37"/>
        <v>-3.4200000000000044</v>
      </c>
      <c r="I112" s="326">
        <f>G112/F112</f>
        <v>0.9889320388349514</v>
      </c>
      <c r="J112" s="270">
        <f t="shared" si="37"/>
        <v>-1789.4199999999998</v>
      </c>
      <c r="K112" s="326">
        <f>G112/E112</f>
        <v>0.14586157517899762</v>
      </c>
      <c r="L112" s="270">
        <f t="shared" si="37"/>
        <v>0</v>
      </c>
      <c r="M112" s="270">
        <f t="shared" si="37"/>
        <v>0</v>
      </c>
      <c r="N112" s="270">
        <f t="shared" si="37"/>
        <v>0</v>
      </c>
      <c r="O112" s="270">
        <f t="shared" si="37"/>
        <v>1956.6200000000001</v>
      </c>
      <c r="P112" s="270">
        <f t="shared" si="37"/>
        <v>138.37999999999994</v>
      </c>
      <c r="Q112" s="326">
        <f>E112/O112</f>
        <v>1.0707240036389283</v>
      </c>
      <c r="R112" s="270">
        <f t="shared" si="37"/>
        <v>282.83</v>
      </c>
      <c r="S112" s="270">
        <f t="shared" si="37"/>
        <v>22.75000000000001</v>
      </c>
      <c r="T112" s="326">
        <f>G112/R112</f>
        <v>1.0804370116324293</v>
      </c>
      <c r="U112" s="270">
        <f t="shared" si="37"/>
        <v>161.81</v>
      </c>
      <c r="V112" s="280">
        <f t="shared" si="37"/>
        <v>155.95999999999998</v>
      </c>
      <c r="W112" s="270">
        <f t="shared" si="37"/>
        <v>-5.850000000000001</v>
      </c>
      <c r="X112" s="326">
        <f>V112/U112</f>
        <v>0.9638464866201099</v>
      </c>
    </row>
    <row r="113" spans="4:9" ht="15" hidden="1">
      <c r="D113" s="260"/>
      <c r="F113" s="78"/>
      <c r="G113" s="4"/>
      <c r="I113" s="262"/>
    </row>
    <row r="114" spans="2:10" ht="15" hidden="1">
      <c r="B114" s="4" t="s">
        <v>162</v>
      </c>
      <c r="D114" s="262">
        <f>D9+D15+D18+D19+D23+D54+D57+D59+D71+D77+D93+D95</f>
        <v>1592543.3</v>
      </c>
      <c r="E114" s="262">
        <f>E9+E15+E18+E19+E23+E54+E57+E59+E71+E77+E93+E95</f>
        <v>1592543.3</v>
      </c>
      <c r="F114" s="262">
        <f>F9+F15+F18+F19+F23+F54+F57+F59+F71+F77+F93+F95</f>
        <v>244610.469</v>
      </c>
      <c r="G114" s="281">
        <f>G9+G15+G18+G19+G23+G54+G57+G59+G71+G77+G93+G95</f>
        <v>244320.84999999995</v>
      </c>
      <c r="H114" s="262">
        <f>H9+H15+H18+H19+H23+H54+H57+H59+H71+H77+H93+H95</f>
        <v>-289.61900000001185</v>
      </c>
      <c r="I114" s="163">
        <f>G114/F114</f>
        <v>0.9988159991631427</v>
      </c>
      <c r="J114" s="262"/>
    </row>
    <row r="115" spans="2:10" ht="15" hidden="1">
      <c r="B115" s="4" t="s">
        <v>163</v>
      </c>
      <c r="D115" s="262">
        <f>D55+D58+D60+D63+D64+D65+D72+D76+D88+D89+D90+D91+D98</f>
        <v>65675.813</v>
      </c>
      <c r="E115" s="262">
        <f>E55+E58+E60+E63+E64+E65+E72+E76+E88+E89+E90+E91+E98</f>
        <v>65675.813</v>
      </c>
      <c r="F115" s="262">
        <f>F55+F58+F60+F63+F64+F65+F72+F76+F88+F89+F90+F91+F98</f>
        <v>7819.187000000001</v>
      </c>
      <c r="G115" s="281">
        <f>G55+G58+G60+G63+G64+G65+G72+G76+G88+G89+G90+G91+G98</f>
        <v>4162.04</v>
      </c>
      <c r="H115" s="262">
        <f>H55+H58+H60+H63+H64+H65+H72+H76+H88+H89+H90+H91+H98</f>
        <v>-3657.1469999999995</v>
      </c>
      <c r="I115" s="163">
        <f>G115/F115</f>
        <v>0.5322855176631535</v>
      </c>
      <c r="J115" s="262"/>
    </row>
    <row r="116" spans="2:10" ht="15" hidden="1">
      <c r="B116" s="4" t="s">
        <v>164</v>
      </c>
      <c r="D116" s="262">
        <f>D56+D62+D66+D78</f>
        <v>22284</v>
      </c>
      <c r="E116" s="262">
        <f>E56+E62+E66+E78</f>
        <v>22284</v>
      </c>
      <c r="F116" s="262">
        <f>F56+F62+F66+F78</f>
        <v>4024.64</v>
      </c>
      <c r="G116" s="281">
        <f>G56+G62+G66+G78</f>
        <v>4075.6400000000003</v>
      </c>
      <c r="H116" s="262">
        <f>H56+H62+H66+H78</f>
        <v>51.00000000000007</v>
      </c>
      <c r="I116" s="163">
        <f>G116/F116</f>
        <v>1.0126719408443987</v>
      </c>
      <c r="J116" s="262"/>
    </row>
    <row r="117" spans="2:10" ht="15" hidden="1">
      <c r="B117" s="320" t="s">
        <v>165</v>
      </c>
      <c r="C117" s="328"/>
      <c r="D117" s="329">
        <f>D114+D115+D116</f>
        <v>1680503.1130000001</v>
      </c>
      <c r="E117" s="329">
        <f>E114+E115+E116</f>
        <v>1680503.1130000001</v>
      </c>
      <c r="F117" s="329">
        <f>F114+F115+F116</f>
        <v>256454.29600000003</v>
      </c>
      <c r="G117" s="330">
        <f>G114+G115+G116</f>
        <v>252558.52999999997</v>
      </c>
      <c r="H117" s="329">
        <f>H114+H115+H116</f>
        <v>-3895.7660000000114</v>
      </c>
      <c r="I117" s="331">
        <f>G117/F117</f>
        <v>0.9848091217001876</v>
      </c>
      <c r="J117" s="262"/>
    </row>
    <row r="118" spans="4:10" ht="15" hidden="1">
      <c r="D118" s="262">
        <f>D117-D101</f>
        <v>0</v>
      </c>
      <c r="E118" s="262">
        <f>E117-E101</f>
        <v>0</v>
      </c>
      <c r="F118" s="262">
        <f>F117-F101</f>
        <v>0</v>
      </c>
      <c r="G118" s="281">
        <f>G117-G101</f>
        <v>-0.009999999980209395</v>
      </c>
      <c r="H118" s="262">
        <f>H117-H101</f>
        <v>-0.009999999930187187</v>
      </c>
      <c r="I118" s="163"/>
      <c r="J118" s="262"/>
    </row>
    <row r="119" spans="4:7" ht="15" hidden="1">
      <c r="D119" s="4"/>
      <c r="E119" s="4" t="s">
        <v>147</v>
      </c>
      <c r="F119" s="78"/>
      <c r="G119" s="4"/>
    </row>
    <row r="120" spans="2:7" ht="15" hidden="1">
      <c r="B120" s="266"/>
      <c r="D120" s="4"/>
      <c r="E120" s="262"/>
      <c r="F120" s="78"/>
      <c r="G120" s="4"/>
    </row>
    <row r="121" spans="2:8" ht="15" hidden="1">
      <c r="B121" s="266"/>
      <c r="D121" s="4"/>
      <c r="E121" s="262"/>
      <c r="F121" s="78"/>
      <c r="G121" s="4"/>
      <c r="H121" s="262"/>
    </row>
    <row r="122" spans="4:11" ht="15" hidden="1">
      <c r="D122" s="3"/>
      <c r="F122" s="78"/>
      <c r="G122" s="4"/>
      <c r="H122" s="262"/>
      <c r="I122" s="3"/>
      <c r="K122" s="3"/>
    </row>
    <row r="123" spans="2:12" ht="18" hidden="1">
      <c r="B123" s="83" t="s">
        <v>151</v>
      </c>
      <c r="C123" s="34">
        <v>25000000</v>
      </c>
      <c r="D123" s="125">
        <v>90449.655</v>
      </c>
      <c r="E123" s="348">
        <v>18102.06</v>
      </c>
      <c r="F123" s="348">
        <v>20254.32</v>
      </c>
      <c r="G123" s="349">
        <v>2152.2599999999984</v>
      </c>
      <c r="H123" s="114">
        <f>G123-F123</f>
        <v>-18102.06</v>
      </c>
      <c r="I123" s="147">
        <f aca="true" t="shared" si="38" ref="I123:I130">G123/F123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83"/>
      <c r="D124" s="284">
        <f>D123+D100</f>
        <v>143035.068</v>
      </c>
      <c r="E124" s="284">
        <f aca="true" t="shared" si="39" ref="E124:J124">E123+E100</f>
        <v>70687.473</v>
      </c>
      <c r="F124" s="284">
        <f t="shared" si="39"/>
        <v>27904.959</v>
      </c>
      <c r="G124" s="284">
        <f t="shared" si="39"/>
        <v>5868.3499999999985</v>
      </c>
      <c r="H124" s="284">
        <f t="shared" si="39"/>
        <v>-22036.609</v>
      </c>
      <c r="I124" s="337">
        <f t="shared" si="38"/>
        <v>0.2102977467194988</v>
      </c>
      <c r="J124" s="284">
        <f t="shared" si="39"/>
        <v>-64819.12300000001</v>
      </c>
      <c r="K124" s="337">
        <f>G124/F124</f>
        <v>0.2102977467194988</v>
      </c>
      <c r="L124" s="3"/>
    </row>
    <row r="125" spans="2:12" ht="17.25" hidden="1">
      <c r="B125" s="285" t="s">
        <v>152</v>
      </c>
      <c r="C125" s="283"/>
      <c r="D125" s="284">
        <f>D101+D123</f>
        <v>1770952.768</v>
      </c>
      <c r="E125" s="284">
        <f aca="true" t="shared" si="40" ref="E125:J125">E101+E123</f>
        <v>1698605.173</v>
      </c>
      <c r="F125" s="284">
        <f t="shared" si="40"/>
        <v>276708.61600000004</v>
      </c>
      <c r="G125" s="284">
        <f t="shared" si="40"/>
        <v>254710.79999999996</v>
      </c>
      <c r="H125" s="284">
        <f t="shared" si="40"/>
        <v>-21997.816000000083</v>
      </c>
      <c r="I125" s="337">
        <f t="shared" si="38"/>
        <v>0.9205018755180356</v>
      </c>
      <c r="J125" s="284">
        <f t="shared" si="40"/>
        <v>-1443894.373</v>
      </c>
      <c r="K125" s="337">
        <f>G125/F125</f>
        <v>0.9205018755180356</v>
      </c>
      <c r="L125" s="3"/>
    </row>
    <row r="126" spans="2:12" ht="15" hidden="1">
      <c r="B126" s="286" t="s">
        <v>153</v>
      </c>
      <c r="C126" s="287">
        <v>40000000</v>
      </c>
      <c r="D126" s="288">
        <v>1499675.196</v>
      </c>
      <c r="E126" s="288">
        <v>1499675.2</v>
      </c>
      <c r="F126" s="350">
        <v>322086.73</v>
      </c>
      <c r="G126" s="350"/>
      <c r="H126" s="288">
        <f>G126-F126</f>
        <v>-322086.73</v>
      </c>
      <c r="I126" s="338">
        <f t="shared" si="38"/>
        <v>0</v>
      </c>
      <c r="J126" s="29">
        <f>G126-E126</f>
        <v>-1499675.2</v>
      </c>
      <c r="K126" s="338">
        <f>G126/E126</f>
        <v>0</v>
      </c>
      <c r="L126" s="3"/>
    </row>
    <row r="127" spans="2:12" ht="26.25" hidden="1">
      <c r="B127" s="340" t="s">
        <v>169</v>
      </c>
      <c r="C127" s="341">
        <v>41033900</v>
      </c>
      <c r="D127" s="342">
        <v>249086.1</v>
      </c>
      <c r="E127" s="343">
        <v>249086.1</v>
      </c>
      <c r="F127" s="343">
        <v>38359.2</v>
      </c>
      <c r="G127" s="342">
        <v>38359.2</v>
      </c>
      <c r="H127" s="342">
        <f>G127-F127</f>
        <v>0</v>
      </c>
      <c r="I127" s="145">
        <f t="shared" si="38"/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340" t="s">
        <v>170</v>
      </c>
      <c r="C128" s="341">
        <v>41034200</v>
      </c>
      <c r="D128" s="342">
        <v>226186</v>
      </c>
      <c r="E128" s="342">
        <v>226186</v>
      </c>
      <c r="F128" s="342">
        <v>44005.9</v>
      </c>
      <c r="G128" s="342">
        <v>44005.9</v>
      </c>
      <c r="H128" s="342">
        <f>G128-F128</f>
        <v>0</v>
      </c>
      <c r="I128" s="145">
        <f t="shared" si="38"/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286" t="s">
        <v>166</v>
      </c>
      <c r="C129" s="287"/>
      <c r="D129" s="288">
        <v>0</v>
      </c>
      <c r="E129" s="288">
        <v>0</v>
      </c>
      <c r="F129" s="288">
        <v>0</v>
      </c>
      <c r="G129" s="288">
        <v>0</v>
      </c>
      <c r="H129" s="288">
        <f>G129-F129</f>
        <v>0</v>
      </c>
      <c r="I129" s="338" t="e">
        <f t="shared" si="38"/>
        <v>#DIV/0!</v>
      </c>
      <c r="J129" s="29">
        <f>G129-E129</f>
        <v>0</v>
      </c>
      <c r="K129" s="338" t="e">
        <f>G129/E129</f>
        <v>#DIV/0!</v>
      </c>
      <c r="L129" s="3"/>
    </row>
    <row r="130" spans="2:12" ht="18" hidden="1">
      <c r="B130" s="289" t="s">
        <v>154</v>
      </c>
      <c r="C130" s="290"/>
      <c r="D130" s="291">
        <f>D125+D126+D129</f>
        <v>3270627.9639999997</v>
      </c>
      <c r="E130" s="291">
        <f aca="true" t="shared" si="41" ref="E130:J130">E125+E126+E129</f>
        <v>3198280.3729999997</v>
      </c>
      <c r="F130" s="291">
        <f t="shared" si="41"/>
        <v>598795.346</v>
      </c>
      <c r="G130" s="291">
        <f t="shared" si="41"/>
        <v>254710.79999999996</v>
      </c>
      <c r="H130" s="291">
        <f t="shared" si="41"/>
        <v>-344084.5460000001</v>
      </c>
      <c r="I130" s="339">
        <f t="shared" si="38"/>
        <v>0.4253720435562636</v>
      </c>
      <c r="J130" s="291">
        <f t="shared" si="41"/>
        <v>-2943569.573</v>
      </c>
      <c r="K130" s="339">
        <f>G130/E130</f>
        <v>0.07963992217514071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2"/>
      <c r="F133" s="78"/>
      <c r="G133" s="4"/>
    </row>
    <row r="134" spans="4:7" ht="15" hidden="1">
      <c r="D134" s="262"/>
      <c r="F134" s="78"/>
      <c r="G134" s="4"/>
    </row>
    <row r="135" spans="4:7" ht="15" hidden="1">
      <c r="D135" s="262"/>
      <c r="F135" s="78"/>
      <c r="G135" s="4"/>
    </row>
    <row r="136" spans="4:7" ht="15" hidden="1">
      <c r="D136" s="262"/>
      <c r="F136" s="78"/>
      <c r="G136" s="4"/>
    </row>
    <row r="137" spans="2:7" ht="15" hidden="1">
      <c r="B137" s="292" t="s">
        <v>155</v>
      </c>
      <c r="D137" s="4"/>
      <c r="F137" s="78"/>
      <c r="G137" s="4"/>
    </row>
    <row r="138" spans="2:26" ht="30.75" hidden="1">
      <c r="B138" s="293" t="s">
        <v>156</v>
      </c>
      <c r="C138" s="294">
        <v>13010200</v>
      </c>
      <c r="D138" s="295">
        <f>D17</f>
        <v>0</v>
      </c>
      <c r="E138" s="295">
        <f aca="true" t="shared" si="42" ref="E138:X138">E17</f>
        <v>0</v>
      </c>
      <c r="F138" s="295">
        <f t="shared" si="42"/>
        <v>0</v>
      </c>
      <c r="G138" s="295">
        <f t="shared" si="42"/>
        <v>0</v>
      </c>
      <c r="H138" s="295">
        <f t="shared" si="42"/>
        <v>0</v>
      </c>
      <c r="I138" s="315">
        <f t="shared" si="42"/>
        <v>0</v>
      </c>
      <c r="J138" s="295">
        <f t="shared" si="42"/>
        <v>0</v>
      </c>
      <c r="K138" s="315">
        <f t="shared" si="42"/>
        <v>0</v>
      </c>
      <c r="L138" s="295">
        <f t="shared" si="42"/>
        <v>0</v>
      </c>
      <c r="M138" s="295">
        <f t="shared" si="42"/>
        <v>0</v>
      </c>
      <c r="N138" s="295">
        <f t="shared" si="42"/>
        <v>0</v>
      </c>
      <c r="O138" s="295">
        <f t="shared" si="42"/>
        <v>0.49</v>
      </c>
      <c r="P138" s="295">
        <f t="shared" si="42"/>
        <v>-0.49</v>
      </c>
      <c r="Q138" s="315">
        <f t="shared" si="42"/>
        <v>0</v>
      </c>
      <c r="R138" s="295">
        <f t="shared" si="42"/>
        <v>0</v>
      </c>
      <c r="S138" s="295">
        <f t="shared" si="42"/>
        <v>0</v>
      </c>
      <c r="T138" s="315" t="e">
        <f t="shared" si="42"/>
        <v>#DIV/0!</v>
      </c>
      <c r="U138" s="295">
        <f t="shared" si="42"/>
        <v>0</v>
      </c>
      <c r="V138" s="295">
        <f t="shared" si="42"/>
        <v>0</v>
      </c>
      <c r="W138" s="295">
        <f t="shared" si="42"/>
        <v>0</v>
      </c>
      <c r="X138" s="315">
        <f t="shared" si="42"/>
        <v>0</v>
      </c>
      <c r="Y138" s="336" t="e">
        <f>T138-Q138</f>
        <v>#DIV/0!</v>
      </c>
      <c r="Z138" s="163"/>
    </row>
    <row r="139" spans="2:26" ht="30.75" hidden="1">
      <c r="B139" s="297" t="s">
        <v>157</v>
      </c>
      <c r="C139" s="294">
        <v>13030200</v>
      </c>
      <c r="D139" s="295">
        <f>D18</f>
        <v>235.6</v>
      </c>
      <c r="E139" s="295">
        <f aca="true" t="shared" si="43" ref="E139:X139">E18</f>
        <v>235.6</v>
      </c>
      <c r="F139" s="295">
        <f t="shared" si="43"/>
        <v>120</v>
      </c>
      <c r="G139" s="295">
        <f t="shared" si="43"/>
        <v>194.24</v>
      </c>
      <c r="H139" s="295">
        <f t="shared" si="43"/>
        <v>74.24000000000001</v>
      </c>
      <c r="I139" s="315">
        <f t="shared" si="43"/>
        <v>1.6186666666666667</v>
      </c>
      <c r="J139" s="295">
        <f t="shared" si="43"/>
        <v>-41.359999999999985</v>
      </c>
      <c r="K139" s="315">
        <f t="shared" si="43"/>
        <v>82.44482173174873</v>
      </c>
      <c r="L139" s="295">
        <f t="shared" si="43"/>
        <v>0</v>
      </c>
      <c r="M139" s="295">
        <f t="shared" si="43"/>
        <v>0</v>
      </c>
      <c r="N139" s="295">
        <f t="shared" si="43"/>
        <v>0</v>
      </c>
      <c r="O139" s="295">
        <f t="shared" si="43"/>
        <v>220.59</v>
      </c>
      <c r="P139" s="295">
        <f t="shared" si="43"/>
        <v>15.009999999999991</v>
      </c>
      <c r="Q139" s="315">
        <f t="shared" si="43"/>
        <v>1.0680447889750215</v>
      </c>
      <c r="R139" s="295">
        <f t="shared" si="43"/>
        <v>0</v>
      </c>
      <c r="S139" s="295">
        <f t="shared" si="43"/>
        <v>194.24</v>
      </c>
      <c r="T139" s="315" t="e">
        <f t="shared" si="43"/>
        <v>#DIV/0!</v>
      </c>
      <c r="U139" s="295">
        <f t="shared" si="43"/>
        <v>120</v>
      </c>
      <c r="V139" s="295">
        <f t="shared" si="43"/>
        <v>194.24</v>
      </c>
      <c r="W139" s="295">
        <f t="shared" si="43"/>
        <v>74.24000000000001</v>
      </c>
      <c r="X139" s="315">
        <f t="shared" si="43"/>
        <v>1.6186666666666667</v>
      </c>
      <c r="Y139" s="336" t="e">
        <f aca="true" t="shared" si="44" ref="Y139:Y161">T139-Q139</f>
        <v>#DIV/0!</v>
      </c>
      <c r="Z139" s="163"/>
    </row>
    <row r="140" spans="2:26" ht="15" hidden="1">
      <c r="B140" s="298" t="s">
        <v>51</v>
      </c>
      <c r="C140" s="299">
        <v>21080500</v>
      </c>
      <c r="D140" s="300">
        <f>D56</f>
        <v>158</v>
      </c>
      <c r="E140" s="300">
        <f aca="true" t="shared" si="45" ref="E140:X140">E56</f>
        <v>158</v>
      </c>
      <c r="F140" s="300">
        <f t="shared" si="45"/>
        <v>14</v>
      </c>
      <c r="G140" s="300">
        <f t="shared" si="45"/>
        <v>13.23</v>
      </c>
      <c r="H140" s="300">
        <f t="shared" si="45"/>
        <v>-0.7699999999999996</v>
      </c>
      <c r="I140" s="332">
        <f t="shared" si="45"/>
        <v>0.9450000000000001</v>
      </c>
      <c r="J140" s="300">
        <f t="shared" si="45"/>
        <v>-144.77</v>
      </c>
      <c r="K140" s="332">
        <f t="shared" si="45"/>
        <v>0.08373417721518987</v>
      </c>
      <c r="L140" s="300">
        <f t="shared" si="45"/>
        <v>0</v>
      </c>
      <c r="M140" s="300">
        <f t="shared" si="45"/>
        <v>0</v>
      </c>
      <c r="N140" s="300">
        <f t="shared" si="45"/>
        <v>0</v>
      </c>
      <c r="O140" s="300">
        <f t="shared" si="45"/>
        <v>153.3</v>
      </c>
      <c r="P140" s="300">
        <f t="shared" si="45"/>
        <v>4.699999999999989</v>
      </c>
      <c r="Q140" s="332">
        <f t="shared" si="45"/>
        <v>1.030658838878017</v>
      </c>
      <c r="R140" s="300">
        <f t="shared" si="45"/>
        <v>57.08</v>
      </c>
      <c r="S140" s="300">
        <f t="shared" si="45"/>
        <v>-43.849999999999994</v>
      </c>
      <c r="T140" s="332">
        <f t="shared" si="45"/>
        <v>0.23177995795374914</v>
      </c>
      <c r="U140" s="300">
        <f t="shared" si="45"/>
        <v>14</v>
      </c>
      <c r="V140" s="300">
        <f t="shared" si="45"/>
        <v>13.23</v>
      </c>
      <c r="W140" s="300">
        <f t="shared" si="45"/>
        <v>-0.7699999999999996</v>
      </c>
      <c r="X140" s="315">
        <f t="shared" si="45"/>
        <v>0.9450000000000001</v>
      </c>
      <c r="Y140" s="336">
        <f t="shared" si="44"/>
        <v>-0.7988788809242677</v>
      </c>
      <c r="Z140" s="163"/>
    </row>
    <row r="141" spans="2:26" ht="30.75" hidden="1">
      <c r="B141" s="302" t="s">
        <v>34</v>
      </c>
      <c r="C141" s="303">
        <v>21080900</v>
      </c>
      <c r="D141" s="304">
        <f>D57</f>
        <v>13</v>
      </c>
      <c r="E141" s="304">
        <f aca="true" t="shared" si="46" ref="E141:X141">E57</f>
        <v>13</v>
      </c>
      <c r="F141" s="304">
        <f t="shared" si="46"/>
        <v>3</v>
      </c>
      <c r="G141" s="304">
        <f t="shared" si="46"/>
        <v>2.02</v>
      </c>
      <c r="H141" s="304">
        <f t="shared" si="46"/>
        <v>-0.98</v>
      </c>
      <c r="I141" s="333">
        <f t="shared" si="46"/>
        <v>0.6733333333333333</v>
      </c>
      <c r="J141" s="304">
        <f t="shared" si="46"/>
        <v>-10.98</v>
      </c>
      <c r="K141" s="333">
        <f t="shared" si="46"/>
        <v>0.1553846153846154</v>
      </c>
      <c r="L141" s="304">
        <f t="shared" si="46"/>
        <v>0</v>
      </c>
      <c r="M141" s="304">
        <f t="shared" si="46"/>
        <v>0</v>
      </c>
      <c r="N141" s="304">
        <f t="shared" si="46"/>
        <v>0</v>
      </c>
      <c r="O141" s="304">
        <f t="shared" si="46"/>
        <v>12.95</v>
      </c>
      <c r="P141" s="304">
        <f t="shared" si="46"/>
        <v>0.05000000000000071</v>
      </c>
      <c r="Q141" s="333">
        <f t="shared" si="46"/>
        <v>1.0038610038610039</v>
      </c>
      <c r="R141" s="304">
        <f t="shared" si="46"/>
        <v>2.03</v>
      </c>
      <c r="S141" s="304">
        <f t="shared" si="46"/>
        <v>-0.009999999999999787</v>
      </c>
      <c r="T141" s="333">
        <f t="shared" si="46"/>
        <v>0</v>
      </c>
      <c r="U141" s="304">
        <f t="shared" si="46"/>
        <v>1</v>
      </c>
      <c r="V141" s="304">
        <f t="shared" si="46"/>
        <v>0</v>
      </c>
      <c r="W141" s="304">
        <f t="shared" si="46"/>
        <v>-1</v>
      </c>
      <c r="X141" s="335">
        <f t="shared" si="46"/>
        <v>0</v>
      </c>
      <c r="Y141" s="336">
        <f t="shared" si="44"/>
        <v>-1.0038610038610039</v>
      </c>
      <c r="Z141" s="163"/>
    </row>
    <row r="142" spans="2:26" ht="15" hidden="1">
      <c r="B142" s="297" t="s">
        <v>16</v>
      </c>
      <c r="C142" s="294">
        <v>21081100</v>
      </c>
      <c r="D142" s="295">
        <f>D58</f>
        <v>744</v>
      </c>
      <c r="E142" s="295">
        <f aca="true" t="shared" si="47" ref="E142:X142">E58</f>
        <v>744</v>
      </c>
      <c r="F142" s="295">
        <f t="shared" si="47"/>
        <v>88.43</v>
      </c>
      <c r="G142" s="295">
        <f t="shared" si="47"/>
        <v>52.18</v>
      </c>
      <c r="H142" s="295">
        <f t="shared" si="47"/>
        <v>-36.25000000000001</v>
      </c>
      <c r="I142" s="315">
        <f t="shared" si="47"/>
        <v>0.5900712427909081</v>
      </c>
      <c r="J142" s="295">
        <f t="shared" si="47"/>
        <v>-691.82</v>
      </c>
      <c r="K142" s="315">
        <f t="shared" si="47"/>
        <v>0.07013440860215053</v>
      </c>
      <c r="L142" s="295">
        <f t="shared" si="47"/>
        <v>0</v>
      </c>
      <c r="M142" s="295">
        <f t="shared" si="47"/>
        <v>0</v>
      </c>
      <c r="N142" s="295">
        <f t="shared" si="47"/>
        <v>0</v>
      </c>
      <c r="O142" s="295">
        <f t="shared" si="47"/>
        <v>705.31</v>
      </c>
      <c r="P142" s="295">
        <f t="shared" si="47"/>
        <v>38.690000000000055</v>
      </c>
      <c r="Q142" s="315">
        <f t="shared" si="47"/>
        <v>1.0548553118486907</v>
      </c>
      <c r="R142" s="295">
        <f t="shared" si="47"/>
        <v>82.08</v>
      </c>
      <c r="S142" s="295">
        <f t="shared" si="47"/>
        <v>-29.9</v>
      </c>
      <c r="T142" s="315">
        <f t="shared" si="47"/>
        <v>0.6357212475633528</v>
      </c>
      <c r="U142" s="295">
        <f t="shared" si="47"/>
        <v>60.00000000000001</v>
      </c>
      <c r="V142" s="295">
        <f t="shared" si="47"/>
        <v>23.75</v>
      </c>
      <c r="W142" s="295">
        <f t="shared" si="47"/>
        <v>-36.25000000000001</v>
      </c>
      <c r="X142" s="315">
        <f t="shared" si="47"/>
        <v>0.39583333333333326</v>
      </c>
      <c r="Y142" s="336">
        <f t="shared" si="44"/>
        <v>-0.41913406428533795</v>
      </c>
      <c r="Z142" s="163"/>
    </row>
    <row r="143" spans="2:26" ht="46.5" hidden="1">
      <c r="B143" s="297" t="s">
        <v>67</v>
      </c>
      <c r="C143" s="294">
        <v>21081500</v>
      </c>
      <c r="D143" s="295">
        <f>D59</f>
        <v>115.5</v>
      </c>
      <c r="E143" s="295">
        <f aca="true" t="shared" si="48" ref="E143:X143">E59</f>
        <v>115.5</v>
      </c>
      <c r="F143" s="295">
        <f t="shared" si="48"/>
        <v>10</v>
      </c>
      <c r="G143" s="295">
        <f t="shared" si="48"/>
        <v>-11.58</v>
      </c>
      <c r="H143" s="295">
        <f t="shared" si="48"/>
        <v>-21.58</v>
      </c>
      <c r="I143" s="315">
        <f t="shared" si="48"/>
        <v>-1.158</v>
      </c>
      <c r="J143" s="295">
        <f t="shared" si="48"/>
        <v>-127.08</v>
      </c>
      <c r="K143" s="315">
        <f t="shared" si="48"/>
        <v>-0.10025974025974026</v>
      </c>
      <c r="L143" s="295">
        <f t="shared" si="48"/>
        <v>0</v>
      </c>
      <c r="M143" s="295">
        <f t="shared" si="48"/>
        <v>0</v>
      </c>
      <c r="N143" s="295">
        <f t="shared" si="48"/>
        <v>0</v>
      </c>
      <c r="O143" s="295">
        <f t="shared" si="48"/>
        <v>114.3</v>
      </c>
      <c r="P143" s="295">
        <f t="shared" si="48"/>
        <v>1.2000000000000028</v>
      </c>
      <c r="Q143" s="315">
        <f t="shared" si="48"/>
        <v>1.010498687664042</v>
      </c>
      <c r="R143" s="295">
        <f t="shared" si="48"/>
        <v>0</v>
      </c>
      <c r="S143" s="295">
        <f t="shared" si="48"/>
        <v>-11.58</v>
      </c>
      <c r="T143" s="315" t="e">
        <f t="shared" si="48"/>
        <v>#DIV/0!</v>
      </c>
      <c r="U143" s="295">
        <f t="shared" si="48"/>
        <v>10</v>
      </c>
      <c r="V143" s="295">
        <f t="shared" si="48"/>
        <v>-5.03</v>
      </c>
      <c r="W143" s="295">
        <f t="shared" si="48"/>
        <v>-15.030000000000001</v>
      </c>
      <c r="X143" s="315">
        <f t="shared" si="48"/>
        <v>-0.503</v>
      </c>
      <c r="Y143" s="336" t="e">
        <f t="shared" si="44"/>
        <v>#DIV/0!</v>
      </c>
      <c r="Z143" s="163"/>
    </row>
    <row r="144" spans="2:26" ht="46.5" hidden="1">
      <c r="B144" s="297" t="s">
        <v>17</v>
      </c>
      <c r="C144" s="294" t="s">
        <v>18</v>
      </c>
      <c r="D144" s="295">
        <f>D71</f>
        <v>3</v>
      </c>
      <c r="E144" s="295">
        <f aca="true" t="shared" si="49" ref="E144:X144">E71</f>
        <v>3</v>
      </c>
      <c r="F144" s="295">
        <f t="shared" si="49"/>
        <v>1.5</v>
      </c>
      <c r="G144" s="295">
        <f t="shared" si="49"/>
        <v>0</v>
      </c>
      <c r="H144" s="295">
        <f t="shared" si="49"/>
        <v>-1.5</v>
      </c>
      <c r="I144" s="315">
        <f t="shared" si="49"/>
        <v>0</v>
      </c>
      <c r="J144" s="295">
        <f t="shared" si="49"/>
        <v>-3</v>
      </c>
      <c r="K144" s="315">
        <f t="shared" si="49"/>
        <v>0</v>
      </c>
      <c r="L144" s="295">
        <f t="shared" si="49"/>
        <v>0</v>
      </c>
      <c r="M144" s="295">
        <f t="shared" si="49"/>
        <v>0</v>
      </c>
      <c r="N144" s="295">
        <f t="shared" si="49"/>
        <v>0</v>
      </c>
      <c r="O144" s="295">
        <f t="shared" si="49"/>
        <v>2.04</v>
      </c>
      <c r="P144" s="295">
        <f t="shared" si="49"/>
        <v>0.96</v>
      </c>
      <c r="Q144" s="315">
        <f t="shared" si="49"/>
        <v>1.4705882352941175</v>
      </c>
      <c r="R144" s="295">
        <f t="shared" si="49"/>
        <v>1.67</v>
      </c>
      <c r="S144" s="295">
        <f t="shared" si="49"/>
        <v>-1.67</v>
      </c>
      <c r="T144" s="315">
        <f t="shared" si="49"/>
        <v>0</v>
      </c>
      <c r="U144" s="295">
        <f t="shared" si="49"/>
        <v>1.5</v>
      </c>
      <c r="V144" s="295">
        <f t="shared" si="49"/>
        <v>0</v>
      </c>
      <c r="W144" s="295">
        <f t="shared" si="49"/>
        <v>-1.5</v>
      </c>
      <c r="X144" s="315">
        <f t="shared" si="49"/>
        <v>0</v>
      </c>
      <c r="Y144" s="336">
        <f t="shared" si="44"/>
        <v>-1.4705882352941175</v>
      </c>
      <c r="Z144" s="163"/>
    </row>
    <row r="145" spans="2:26" ht="30.75" hidden="1">
      <c r="B145" s="306" t="s">
        <v>39</v>
      </c>
      <c r="C145" s="294">
        <v>31010200</v>
      </c>
      <c r="D145" s="307">
        <f>D77</f>
        <v>35</v>
      </c>
      <c r="E145" s="307">
        <f aca="true" t="shared" si="50" ref="E145:X145">E77</f>
        <v>35</v>
      </c>
      <c r="F145" s="307">
        <f t="shared" si="50"/>
        <v>6.67</v>
      </c>
      <c r="G145" s="307">
        <f t="shared" si="50"/>
        <v>4.74</v>
      </c>
      <c r="H145" s="307">
        <f t="shared" si="50"/>
        <v>-1.9299999999999997</v>
      </c>
      <c r="I145" s="334">
        <f t="shared" si="50"/>
        <v>0.7106446776611695</v>
      </c>
      <c r="J145" s="307">
        <f t="shared" si="50"/>
        <v>-30.259999999999998</v>
      </c>
      <c r="K145" s="334">
        <f t="shared" si="50"/>
        <v>0.13542857142857143</v>
      </c>
      <c r="L145" s="307">
        <f t="shared" si="50"/>
        <v>0</v>
      </c>
      <c r="M145" s="307">
        <f t="shared" si="50"/>
        <v>0</v>
      </c>
      <c r="N145" s="307">
        <f t="shared" si="50"/>
        <v>0</v>
      </c>
      <c r="O145" s="307">
        <f t="shared" si="50"/>
        <v>34.22</v>
      </c>
      <c r="P145" s="307">
        <f t="shared" si="50"/>
        <v>0.7800000000000011</v>
      </c>
      <c r="Q145" s="334">
        <f t="shared" si="50"/>
        <v>1.0227936879018118</v>
      </c>
      <c r="R145" s="307">
        <f t="shared" si="50"/>
        <v>8.6</v>
      </c>
      <c r="S145" s="307">
        <f t="shared" si="50"/>
        <v>-3.8599999999999994</v>
      </c>
      <c r="T145" s="334">
        <f t="shared" si="50"/>
        <v>0.5511627906976745</v>
      </c>
      <c r="U145" s="307">
        <f t="shared" si="50"/>
        <v>2.9</v>
      </c>
      <c r="V145" s="307">
        <f t="shared" si="50"/>
        <v>0.9700000000000002</v>
      </c>
      <c r="W145" s="307">
        <f t="shared" si="50"/>
        <v>-1.9299999999999997</v>
      </c>
      <c r="X145" s="334">
        <f t="shared" si="50"/>
        <v>0.3344827586206897</v>
      </c>
      <c r="Y145" s="336">
        <f t="shared" si="44"/>
        <v>-0.4716308972041373</v>
      </c>
      <c r="Z145" s="163"/>
    </row>
    <row r="146" spans="2:26" ht="30.75" hidden="1">
      <c r="B146" s="306" t="s">
        <v>49</v>
      </c>
      <c r="C146" s="294">
        <v>31020000</v>
      </c>
      <c r="D146" s="307">
        <f>D78</f>
        <v>0</v>
      </c>
      <c r="E146" s="307">
        <f aca="true" t="shared" si="51" ref="E146:X146">E78</f>
        <v>0</v>
      </c>
      <c r="F146" s="307">
        <f t="shared" si="51"/>
        <v>0</v>
      </c>
      <c r="G146" s="307">
        <f t="shared" si="51"/>
        <v>0.11</v>
      </c>
      <c r="H146" s="307">
        <f t="shared" si="51"/>
        <v>0.11</v>
      </c>
      <c r="I146" s="334" t="e">
        <f t="shared" si="51"/>
        <v>#DIV/0!</v>
      </c>
      <c r="J146" s="307">
        <f t="shared" si="51"/>
        <v>0.11</v>
      </c>
      <c r="K146" s="334">
        <f t="shared" si="51"/>
        <v>0</v>
      </c>
      <c r="L146" s="307">
        <f t="shared" si="51"/>
        <v>0</v>
      </c>
      <c r="M146" s="307">
        <f t="shared" si="51"/>
        <v>0</v>
      </c>
      <c r="N146" s="307">
        <f t="shared" si="51"/>
        <v>0</v>
      </c>
      <c r="O146" s="307">
        <f t="shared" si="51"/>
        <v>-4.86</v>
      </c>
      <c r="P146" s="307">
        <f t="shared" si="51"/>
        <v>4.86</v>
      </c>
      <c r="Q146" s="334">
        <f t="shared" si="51"/>
        <v>0</v>
      </c>
      <c r="R146" s="307">
        <f t="shared" si="51"/>
        <v>-5.33</v>
      </c>
      <c r="S146" s="307">
        <f t="shared" si="51"/>
        <v>5.44</v>
      </c>
      <c r="T146" s="334">
        <f t="shared" si="51"/>
        <v>-0.020637898686679174</v>
      </c>
      <c r="U146" s="307">
        <f t="shared" si="51"/>
        <v>0</v>
      </c>
      <c r="V146" s="307">
        <f t="shared" si="51"/>
        <v>0.11</v>
      </c>
      <c r="W146" s="307">
        <f t="shared" si="51"/>
        <v>0.11</v>
      </c>
      <c r="X146" s="334">
        <f t="shared" si="51"/>
        <v>0</v>
      </c>
      <c r="Y146" s="336">
        <f t="shared" si="44"/>
        <v>-0.020637898686679174</v>
      </c>
      <c r="Z146" s="163"/>
    </row>
    <row r="147" spans="4:26" ht="15" hidden="1">
      <c r="D147" s="311">
        <f>SUM(D138:D146)</f>
        <v>1304.1</v>
      </c>
      <c r="E147" s="311">
        <f>SUM(E138:E146)</f>
        <v>1304.1</v>
      </c>
      <c r="F147" s="311">
        <f>SUM(F138:F146)</f>
        <v>243.6</v>
      </c>
      <c r="G147" s="311">
        <f>SUM(G138:G146)</f>
        <v>254.94000000000003</v>
      </c>
      <c r="H147" s="311">
        <f>SUM(H138:H146)</f>
        <v>11.340000000000003</v>
      </c>
      <c r="I147" s="189">
        <f>G147/F147</f>
        <v>1.0465517241379312</v>
      </c>
      <c r="J147" s="311">
        <f>G147-E147</f>
        <v>-1049.1599999999999</v>
      </c>
      <c r="K147" s="331">
        <f>G147/E147</f>
        <v>0.1954911433172303</v>
      </c>
      <c r="O147" s="311">
        <f>SUM(O138:O146)</f>
        <v>1238.34</v>
      </c>
      <c r="P147" s="311">
        <f>SUM(P138:P146)</f>
        <v>65.76000000000005</v>
      </c>
      <c r="Q147" s="189">
        <f>E147/O147</f>
        <v>1.053103348030428</v>
      </c>
      <c r="R147" s="311">
        <f>SUM(R138:R146)</f>
        <v>146.12999999999997</v>
      </c>
      <c r="S147" s="311">
        <f>SUM(S138:S146)</f>
        <v>108.81000000000002</v>
      </c>
      <c r="T147" s="189">
        <f>G147/R147</f>
        <v>1.7446109628413062</v>
      </c>
      <c r="U147" s="311">
        <f>SUM(U138:U146)</f>
        <v>209.4</v>
      </c>
      <c r="V147" s="311">
        <f>SUM(V138:V146)</f>
        <v>227.27</v>
      </c>
      <c r="W147" s="311">
        <f>SUM(W138:W146)</f>
        <v>17.870000000000005</v>
      </c>
      <c r="X147" s="189">
        <f>V147/U147</f>
        <v>1.0853390639923592</v>
      </c>
      <c r="Y147" s="189">
        <f t="shared" si="44"/>
        <v>0.6915076148108783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12" t="s">
        <v>158</v>
      </c>
      <c r="D149" s="4"/>
      <c r="F149" s="78"/>
      <c r="G149" s="4"/>
      <c r="Y149" s="189"/>
    </row>
    <row r="150" spans="2:25" ht="30.75" hidden="1">
      <c r="B150" s="313" t="s">
        <v>89</v>
      </c>
      <c r="C150" s="314">
        <v>22010300</v>
      </c>
      <c r="D150" s="295">
        <f>D60</f>
        <v>1284</v>
      </c>
      <c r="E150" s="295">
        <f aca="true" t="shared" si="52" ref="E150:X150">E60</f>
        <v>1284</v>
      </c>
      <c r="F150" s="295">
        <f t="shared" si="52"/>
        <v>184</v>
      </c>
      <c r="G150" s="295">
        <f t="shared" si="52"/>
        <v>177.19</v>
      </c>
      <c r="H150" s="295">
        <f t="shared" si="52"/>
        <v>-6.810000000000002</v>
      </c>
      <c r="I150" s="315">
        <f t="shared" si="52"/>
        <v>0.9629891304347826</v>
      </c>
      <c r="J150" s="295">
        <f t="shared" si="52"/>
        <v>-1106.81</v>
      </c>
      <c r="K150" s="315">
        <f t="shared" si="52"/>
        <v>0.13799844236760125</v>
      </c>
      <c r="L150" s="295">
        <f t="shared" si="52"/>
        <v>0</v>
      </c>
      <c r="M150" s="295">
        <f t="shared" si="52"/>
        <v>0</v>
      </c>
      <c r="N150" s="295">
        <f t="shared" si="52"/>
        <v>0</v>
      </c>
      <c r="O150" s="295">
        <f t="shared" si="52"/>
        <v>1205.14</v>
      </c>
      <c r="P150" s="295">
        <f t="shared" si="52"/>
        <v>78.8599999999999</v>
      </c>
      <c r="Q150" s="315">
        <f t="shared" si="52"/>
        <v>1.0654363808354215</v>
      </c>
      <c r="R150" s="295">
        <f t="shared" si="52"/>
        <v>192.39</v>
      </c>
      <c r="S150" s="295">
        <f t="shared" si="52"/>
        <v>-15.199999999999989</v>
      </c>
      <c r="T150" s="315">
        <f t="shared" si="52"/>
        <v>0.920993814647331</v>
      </c>
      <c r="U150" s="295">
        <f t="shared" si="52"/>
        <v>94.81</v>
      </c>
      <c r="V150" s="295">
        <f t="shared" si="52"/>
        <v>88</v>
      </c>
      <c r="W150" s="295">
        <f t="shared" si="52"/>
        <v>-6.810000000000002</v>
      </c>
      <c r="X150" s="315">
        <f t="shared" si="52"/>
        <v>0.9281721337411665</v>
      </c>
      <c r="Y150" s="336">
        <f t="shared" si="44"/>
        <v>-0.14444256618809048</v>
      </c>
    </row>
    <row r="151" spans="2:25" ht="15" hidden="1">
      <c r="B151" s="313" t="s">
        <v>106</v>
      </c>
      <c r="C151" s="314">
        <v>22010200</v>
      </c>
      <c r="D151" s="295">
        <f>D61</f>
        <v>0</v>
      </c>
      <c r="E151" s="295">
        <f aca="true" t="shared" si="53" ref="E151:X151">E61</f>
        <v>0</v>
      </c>
      <c r="F151" s="295">
        <f t="shared" si="53"/>
        <v>0</v>
      </c>
      <c r="G151" s="295">
        <f t="shared" si="53"/>
        <v>0</v>
      </c>
      <c r="H151" s="295">
        <f t="shared" si="53"/>
        <v>0</v>
      </c>
      <c r="I151" s="315" t="e">
        <f t="shared" si="53"/>
        <v>#DIV/0!</v>
      </c>
      <c r="J151" s="295">
        <f t="shared" si="53"/>
        <v>0</v>
      </c>
      <c r="K151" s="315" t="e">
        <f t="shared" si="53"/>
        <v>#DIV/0!</v>
      </c>
      <c r="L151" s="295">
        <f t="shared" si="53"/>
        <v>0</v>
      </c>
      <c r="M151" s="295">
        <f t="shared" si="53"/>
        <v>0</v>
      </c>
      <c r="N151" s="295">
        <f t="shared" si="53"/>
        <v>0</v>
      </c>
      <c r="O151" s="295">
        <f t="shared" si="53"/>
        <v>23.38</v>
      </c>
      <c r="P151" s="295">
        <f t="shared" si="53"/>
        <v>-23.38</v>
      </c>
      <c r="Q151" s="315">
        <f t="shared" si="53"/>
        <v>0</v>
      </c>
      <c r="R151" s="295">
        <f t="shared" si="53"/>
        <v>0</v>
      </c>
      <c r="S151" s="295">
        <f t="shared" si="53"/>
        <v>0</v>
      </c>
      <c r="T151" s="315">
        <f t="shared" si="53"/>
        <v>0</v>
      </c>
      <c r="U151" s="295">
        <f t="shared" si="53"/>
        <v>0</v>
      </c>
      <c r="V151" s="295">
        <f t="shared" si="53"/>
        <v>0</v>
      </c>
      <c r="W151" s="295">
        <f t="shared" si="53"/>
        <v>0</v>
      </c>
      <c r="X151" s="315" t="e">
        <f t="shared" si="53"/>
        <v>#DIV/0!</v>
      </c>
      <c r="Y151" s="336">
        <f t="shared" si="44"/>
        <v>0</v>
      </c>
    </row>
    <row r="152" spans="2:25" ht="15" hidden="1">
      <c r="B152" s="316" t="s">
        <v>65</v>
      </c>
      <c r="C152" s="317">
        <v>22012500</v>
      </c>
      <c r="D152" s="318">
        <f>D62</f>
        <v>21260</v>
      </c>
      <c r="E152" s="318">
        <f aca="true" t="shared" si="54" ref="E152:X152">E62</f>
        <v>21260</v>
      </c>
      <c r="F152" s="318">
        <f t="shared" si="54"/>
        <v>3890</v>
      </c>
      <c r="G152" s="318">
        <f t="shared" si="54"/>
        <v>3955.42</v>
      </c>
      <c r="H152" s="318">
        <f t="shared" si="54"/>
        <v>65.42000000000007</v>
      </c>
      <c r="I152" s="319">
        <f t="shared" si="54"/>
        <v>1.0168174807197943</v>
      </c>
      <c r="J152" s="318">
        <f t="shared" si="54"/>
        <v>-17304.58</v>
      </c>
      <c r="K152" s="319">
        <f t="shared" si="54"/>
        <v>0.18604985888993414</v>
      </c>
      <c r="L152" s="318">
        <f t="shared" si="54"/>
        <v>0</v>
      </c>
      <c r="M152" s="318">
        <f t="shared" si="54"/>
        <v>0</v>
      </c>
      <c r="N152" s="318">
        <f t="shared" si="54"/>
        <v>0</v>
      </c>
      <c r="O152" s="318">
        <f t="shared" si="54"/>
        <v>20110.14</v>
      </c>
      <c r="P152" s="318">
        <f t="shared" si="54"/>
        <v>1149.8600000000006</v>
      </c>
      <c r="Q152" s="319">
        <f t="shared" si="54"/>
        <v>1.0571781200926498</v>
      </c>
      <c r="R152" s="318">
        <f t="shared" si="54"/>
        <v>2143.72</v>
      </c>
      <c r="S152" s="318">
        <f t="shared" si="54"/>
        <v>1811.7000000000003</v>
      </c>
      <c r="T152" s="319">
        <f t="shared" si="54"/>
        <v>1.8451196984680838</v>
      </c>
      <c r="U152" s="318">
        <f t="shared" si="54"/>
        <v>2000</v>
      </c>
      <c r="V152" s="318">
        <f t="shared" si="54"/>
        <v>2061.32</v>
      </c>
      <c r="W152" s="318">
        <f t="shared" si="54"/>
        <v>61.320000000000164</v>
      </c>
      <c r="X152" s="319">
        <f t="shared" si="54"/>
        <v>1.0306600000000001</v>
      </c>
      <c r="Y152" s="336">
        <f t="shared" si="44"/>
        <v>0.787941578375434</v>
      </c>
    </row>
    <row r="153" spans="2:25" ht="30.75" hidden="1">
      <c r="B153" s="316" t="s">
        <v>86</v>
      </c>
      <c r="C153" s="317">
        <v>22012600</v>
      </c>
      <c r="D153" s="318">
        <f>D63</f>
        <v>767</v>
      </c>
      <c r="E153" s="318">
        <f aca="true" t="shared" si="55" ref="E153:X153">E63</f>
        <v>767</v>
      </c>
      <c r="F153" s="318">
        <f t="shared" si="55"/>
        <v>121</v>
      </c>
      <c r="G153" s="318">
        <f t="shared" si="55"/>
        <v>121.69</v>
      </c>
      <c r="H153" s="318">
        <f t="shared" si="55"/>
        <v>0.6899999999999977</v>
      </c>
      <c r="I153" s="319">
        <f t="shared" si="55"/>
        <v>1.005702479338843</v>
      </c>
      <c r="J153" s="318">
        <f t="shared" si="55"/>
        <v>-645.31</v>
      </c>
      <c r="K153" s="319">
        <f t="shared" si="55"/>
        <v>0.15865710560625815</v>
      </c>
      <c r="L153" s="318">
        <f t="shared" si="55"/>
        <v>0</v>
      </c>
      <c r="M153" s="318">
        <f t="shared" si="55"/>
        <v>0</v>
      </c>
      <c r="N153" s="318">
        <f t="shared" si="55"/>
        <v>0</v>
      </c>
      <c r="O153" s="318">
        <f t="shared" si="55"/>
        <v>710.04</v>
      </c>
      <c r="P153" s="318">
        <f t="shared" si="55"/>
        <v>56.960000000000036</v>
      </c>
      <c r="Q153" s="319">
        <f t="shared" si="55"/>
        <v>1.0802208326291478</v>
      </c>
      <c r="R153" s="318">
        <f t="shared" si="55"/>
        <v>90.44</v>
      </c>
      <c r="S153" s="318">
        <f t="shared" si="55"/>
        <v>31.25</v>
      </c>
      <c r="T153" s="319">
        <f t="shared" si="55"/>
        <v>1.345532950022114</v>
      </c>
      <c r="U153" s="318">
        <f t="shared" si="55"/>
        <v>64</v>
      </c>
      <c r="V153" s="318">
        <f t="shared" si="55"/>
        <v>62.32</v>
      </c>
      <c r="W153" s="318">
        <f t="shared" si="55"/>
        <v>-1.6799999999999997</v>
      </c>
      <c r="X153" s="319">
        <f t="shared" si="55"/>
        <v>0.97375</v>
      </c>
      <c r="Y153" s="336">
        <f t="shared" si="44"/>
        <v>0.26531211739296623</v>
      </c>
    </row>
    <row r="154" spans="2:25" ht="30.75" hidden="1">
      <c r="B154" s="316" t="s">
        <v>90</v>
      </c>
      <c r="C154" s="317">
        <v>22012900</v>
      </c>
      <c r="D154" s="318">
        <f>D64</f>
        <v>44</v>
      </c>
      <c r="E154" s="318">
        <f aca="true" t="shared" si="56" ref="E154:X154">E64</f>
        <v>44</v>
      </c>
      <c r="F154" s="318">
        <f t="shared" si="56"/>
        <v>4</v>
      </c>
      <c r="G154" s="318">
        <f t="shared" si="56"/>
        <v>6.7</v>
      </c>
      <c r="H154" s="318">
        <f t="shared" si="56"/>
        <v>2.7</v>
      </c>
      <c r="I154" s="319">
        <f t="shared" si="56"/>
        <v>1.675</v>
      </c>
      <c r="J154" s="318">
        <f t="shared" si="56"/>
        <v>-37.3</v>
      </c>
      <c r="K154" s="319">
        <f t="shared" si="56"/>
        <v>0.15227272727272728</v>
      </c>
      <c r="L154" s="318">
        <f t="shared" si="56"/>
        <v>0</v>
      </c>
      <c r="M154" s="318">
        <f t="shared" si="56"/>
        <v>0</v>
      </c>
      <c r="N154" s="318">
        <f t="shared" si="56"/>
        <v>0</v>
      </c>
      <c r="O154" s="318">
        <f t="shared" si="56"/>
        <v>41.44</v>
      </c>
      <c r="P154" s="318">
        <f t="shared" si="56"/>
        <v>2.5600000000000023</v>
      </c>
      <c r="Q154" s="319">
        <f t="shared" si="56"/>
        <v>1.0617760617760619</v>
      </c>
      <c r="R154" s="318">
        <f t="shared" si="56"/>
        <v>0</v>
      </c>
      <c r="S154" s="318">
        <f t="shared" si="56"/>
        <v>6.7</v>
      </c>
      <c r="T154" s="319" t="e">
        <f t="shared" si="56"/>
        <v>#DIV/0!</v>
      </c>
      <c r="U154" s="318">
        <f t="shared" si="56"/>
        <v>3</v>
      </c>
      <c r="V154" s="318">
        <f t="shared" si="56"/>
        <v>5.640000000000001</v>
      </c>
      <c r="W154" s="318">
        <f t="shared" si="56"/>
        <v>2.6400000000000006</v>
      </c>
      <c r="X154" s="319">
        <f t="shared" si="56"/>
        <v>1.8800000000000001</v>
      </c>
      <c r="Y154" s="336" t="e">
        <f t="shared" si="44"/>
        <v>#DIV/0!</v>
      </c>
    </row>
    <row r="155" spans="2:25" ht="15" hidden="1">
      <c r="B155" s="312" t="s">
        <v>158</v>
      </c>
      <c r="C155" s="320">
        <v>22010000</v>
      </c>
      <c r="D155" s="311">
        <f>SUM(D150:D154)</f>
        <v>23355</v>
      </c>
      <c r="E155" s="311">
        <f aca="true" t="shared" si="57" ref="E155:W155">SUM(E150:E154)</f>
        <v>23355</v>
      </c>
      <c r="F155" s="311">
        <f t="shared" si="57"/>
        <v>4199</v>
      </c>
      <c r="G155" s="311">
        <f t="shared" si="57"/>
        <v>4260.999999999999</v>
      </c>
      <c r="H155" s="311">
        <f t="shared" si="57"/>
        <v>62.00000000000007</v>
      </c>
      <c r="I155" s="189">
        <f>G155/F155</f>
        <v>1.0147654203381755</v>
      </c>
      <c r="J155" s="311">
        <f t="shared" si="57"/>
        <v>-19094.000000000004</v>
      </c>
      <c r="K155" s="189">
        <f>G155/E155</f>
        <v>0.182444872618283</v>
      </c>
      <c r="L155" s="311">
        <f t="shared" si="57"/>
        <v>0</v>
      </c>
      <c r="M155" s="311">
        <f t="shared" si="57"/>
        <v>0</v>
      </c>
      <c r="N155" s="311">
        <f t="shared" si="57"/>
        <v>0</v>
      </c>
      <c r="O155" s="311">
        <f t="shared" si="57"/>
        <v>22090.14</v>
      </c>
      <c r="P155" s="311">
        <f t="shared" si="57"/>
        <v>1264.8600000000006</v>
      </c>
      <c r="Q155" s="189">
        <f>E155/O155</f>
        <v>1.0572590304995804</v>
      </c>
      <c r="R155" s="311">
        <f t="shared" si="57"/>
        <v>2426.5499999999997</v>
      </c>
      <c r="S155" s="311">
        <f t="shared" si="57"/>
        <v>1834.4500000000003</v>
      </c>
      <c r="T155" s="189">
        <f>G155/R155</f>
        <v>1.7559910160515957</v>
      </c>
      <c r="U155" s="311">
        <f t="shared" si="57"/>
        <v>2161.81</v>
      </c>
      <c r="V155" s="311">
        <f t="shared" si="57"/>
        <v>2217.28</v>
      </c>
      <c r="W155" s="311">
        <f t="shared" si="57"/>
        <v>55.47000000000016</v>
      </c>
      <c r="X155" s="189">
        <f>V155/U155</f>
        <v>1.025659054218456</v>
      </c>
      <c r="Y155" s="189">
        <f t="shared" si="44"/>
        <v>0.6987319855520153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12" t="s">
        <v>159</v>
      </c>
      <c r="D158" s="4"/>
      <c r="F158" s="78"/>
      <c r="G158" s="4"/>
      <c r="Y158" s="189"/>
    </row>
    <row r="159" spans="2:25" ht="15" hidden="1">
      <c r="B159" s="321" t="s">
        <v>13</v>
      </c>
      <c r="C159" s="294" t="s">
        <v>19</v>
      </c>
      <c r="D159" s="310">
        <f>D72</f>
        <v>8170</v>
      </c>
      <c r="E159" s="310">
        <f aca="true" t="shared" si="58" ref="E159:X159">E72</f>
        <v>8170</v>
      </c>
      <c r="F159" s="310">
        <f t="shared" si="58"/>
        <v>1248.65</v>
      </c>
      <c r="G159" s="310">
        <f t="shared" si="58"/>
        <v>1072.15</v>
      </c>
      <c r="H159" s="310">
        <f t="shared" si="58"/>
        <v>-176.5</v>
      </c>
      <c r="I159" s="309">
        <f t="shared" si="58"/>
        <v>0.8586473391262563</v>
      </c>
      <c r="J159" s="310">
        <f t="shared" si="58"/>
        <v>-7097.85</v>
      </c>
      <c r="K159" s="309">
        <f t="shared" si="58"/>
        <v>0.13123011015911873</v>
      </c>
      <c r="L159" s="310">
        <f t="shared" si="58"/>
        <v>0</v>
      </c>
      <c r="M159" s="310">
        <f t="shared" si="58"/>
        <v>0</v>
      </c>
      <c r="N159" s="310">
        <f t="shared" si="58"/>
        <v>0</v>
      </c>
      <c r="O159" s="310">
        <f t="shared" si="58"/>
        <v>8086.92</v>
      </c>
      <c r="P159" s="310">
        <f t="shared" si="58"/>
        <v>83.07999999999993</v>
      </c>
      <c r="Q159" s="309">
        <f t="shared" si="58"/>
        <v>1.0102733797292418</v>
      </c>
      <c r="R159" s="310">
        <f t="shared" si="58"/>
        <v>2711.43</v>
      </c>
      <c r="S159" s="310">
        <f t="shared" si="58"/>
        <v>-1639.2799999999997</v>
      </c>
      <c r="T159" s="309">
        <f t="shared" si="58"/>
        <v>0.3954186536255777</v>
      </c>
      <c r="U159" s="310">
        <f t="shared" si="58"/>
        <v>680.0000000000001</v>
      </c>
      <c r="V159" s="310">
        <f t="shared" si="58"/>
        <v>503.5000000000001</v>
      </c>
      <c r="W159" s="310">
        <f t="shared" si="58"/>
        <v>-176.5</v>
      </c>
      <c r="X159" s="309">
        <f t="shared" si="58"/>
        <v>0.7404411764705883</v>
      </c>
      <c r="Y159" s="189">
        <f t="shared" si="44"/>
        <v>-0.6148547261036641</v>
      </c>
    </row>
    <row r="160" spans="2:25" ht="46.5" hidden="1">
      <c r="B160" s="321" t="s">
        <v>38</v>
      </c>
      <c r="C160" s="294">
        <v>24061900</v>
      </c>
      <c r="D160" s="310">
        <f>D76</f>
        <v>174.4</v>
      </c>
      <c r="E160" s="310">
        <f aca="true" t="shared" si="59" ref="E160:X160">E76</f>
        <v>174.4</v>
      </c>
      <c r="F160" s="310">
        <f t="shared" si="59"/>
        <v>0</v>
      </c>
      <c r="G160" s="310">
        <f t="shared" si="59"/>
        <v>0</v>
      </c>
      <c r="H160" s="310">
        <f t="shared" si="59"/>
        <v>0</v>
      </c>
      <c r="I160" s="309" t="e">
        <f t="shared" si="59"/>
        <v>#DIV/0!</v>
      </c>
      <c r="J160" s="310">
        <f t="shared" si="59"/>
        <v>-174.4</v>
      </c>
      <c r="K160" s="309">
        <f t="shared" si="59"/>
        <v>0</v>
      </c>
      <c r="L160" s="310">
        <f t="shared" si="59"/>
        <v>0</v>
      </c>
      <c r="M160" s="310">
        <f t="shared" si="59"/>
        <v>0</v>
      </c>
      <c r="N160" s="310">
        <f t="shared" si="59"/>
        <v>0</v>
      </c>
      <c r="O160" s="310">
        <f t="shared" si="59"/>
        <v>142.18</v>
      </c>
      <c r="P160" s="310">
        <f t="shared" si="59"/>
        <v>32.22</v>
      </c>
      <c r="Q160" s="309">
        <f t="shared" si="59"/>
        <v>1.2266141510761006</v>
      </c>
      <c r="R160" s="310">
        <f t="shared" si="59"/>
        <v>32.89</v>
      </c>
      <c r="S160" s="310">
        <f t="shared" si="59"/>
        <v>-32.89</v>
      </c>
      <c r="T160" s="309">
        <f t="shared" si="59"/>
        <v>0</v>
      </c>
      <c r="U160" s="310">
        <f t="shared" si="59"/>
        <v>0</v>
      </c>
      <c r="V160" s="310">
        <f t="shared" si="59"/>
        <v>0</v>
      </c>
      <c r="W160" s="310">
        <f t="shared" si="59"/>
        <v>0</v>
      </c>
      <c r="X160" s="309" t="e">
        <f t="shared" si="59"/>
        <v>#DIV/0!</v>
      </c>
      <c r="Y160" s="189">
        <f t="shared" si="44"/>
        <v>-1.2266141510761006</v>
      </c>
    </row>
    <row r="161" spans="2:25" ht="15" hidden="1">
      <c r="B161" s="312" t="s">
        <v>159</v>
      </c>
      <c r="C161" s="322">
        <v>24060000</v>
      </c>
      <c r="D161" s="311">
        <f>SUM(D159:D160)</f>
        <v>8344.4</v>
      </c>
      <c r="E161" s="311">
        <f aca="true" t="shared" si="60" ref="E161:W161">SUM(E159:E160)</f>
        <v>8344.4</v>
      </c>
      <c r="F161" s="311">
        <f t="shared" si="60"/>
        <v>1248.65</v>
      </c>
      <c r="G161" s="311">
        <f t="shared" si="60"/>
        <v>1072.15</v>
      </c>
      <c r="H161" s="311">
        <f t="shared" si="60"/>
        <v>-176.5</v>
      </c>
      <c r="I161" s="189">
        <f>G161/F161</f>
        <v>0.8586473391262563</v>
      </c>
      <c r="J161" s="311">
        <f t="shared" si="60"/>
        <v>-7272.25</v>
      </c>
      <c r="K161" s="189">
        <f>G161/E161</f>
        <v>0.12848736877426778</v>
      </c>
      <c r="L161" s="311">
        <f t="shared" si="60"/>
        <v>0</v>
      </c>
      <c r="M161" s="311">
        <f t="shared" si="60"/>
        <v>0</v>
      </c>
      <c r="N161" s="311">
        <f t="shared" si="60"/>
        <v>0</v>
      </c>
      <c r="O161" s="311">
        <f t="shared" si="60"/>
        <v>8229.1</v>
      </c>
      <c r="P161" s="311">
        <f t="shared" si="60"/>
        <v>115.29999999999993</v>
      </c>
      <c r="Q161" s="189">
        <f>E161/O161</f>
        <v>1.0140112527493892</v>
      </c>
      <c r="R161" s="311">
        <f t="shared" si="60"/>
        <v>2744.3199999999997</v>
      </c>
      <c r="S161" s="311">
        <f t="shared" si="60"/>
        <v>-1672.1699999999998</v>
      </c>
      <c r="T161" s="189">
        <f>G161/R161</f>
        <v>0.3906796583488807</v>
      </c>
      <c r="U161" s="311">
        <f t="shared" si="60"/>
        <v>680.0000000000001</v>
      </c>
      <c r="V161" s="311">
        <f t="shared" si="60"/>
        <v>503.5000000000001</v>
      </c>
      <c r="W161" s="311">
        <f t="shared" si="60"/>
        <v>-176.5</v>
      </c>
      <c r="X161" s="189">
        <f>V161/U161</f>
        <v>0.7404411764705883</v>
      </c>
      <c r="Y161" s="189">
        <f t="shared" si="44"/>
        <v>-0.6233315944005084</v>
      </c>
    </row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</sheetData>
  <sheetProtection/>
  <mergeCells count="30">
    <mergeCell ref="E3:E5"/>
    <mergeCell ref="G3:K3"/>
    <mergeCell ref="U3:U5"/>
    <mergeCell ref="B109:C109"/>
    <mergeCell ref="G109:H109"/>
    <mergeCell ref="V3:X3"/>
    <mergeCell ref="F4:F5"/>
    <mergeCell ref="G106:H106"/>
    <mergeCell ref="G107:H107"/>
    <mergeCell ref="G108:H108"/>
    <mergeCell ref="H4:H5"/>
    <mergeCell ref="I4:I5"/>
    <mergeCell ref="J4:J5"/>
    <mergeCell ref="K4:K5"/>
    <mergeCell ref="V4:V5"/>
    <mergeCell ref="A1:X1"/>
    <mergeCell ref="B2:E2"/>
    <mergeCell ref="A3:A5"/>
    <mergeCell ref="B3:B5"/>
    <mergeCell ref="C3:C5"/>
    <mergeCell ref="G111:H111"/>
    <mergeCell ref="B111:C111"/>
    <mergeCell ref="G110:H110"/>
    <mergeCell ref="D3:D5"/>
    <mergeCell ref="W4:W5"/>
    <mergeCell ref="X4:X5"/>
    <mergeCell ref="L5:N5"/>
    <mergeCell ref="O5:Q5"/>
    <mergeCell ref="R5:T5"/>
    <mergeCell ref="G4:G5"/>
  </mergeCells>
  <printOptions/>
  <pageMargins left="0.31496062992125984" right="0" top="0" bottom="0" header="0" footer="0"/>
  <pageSetup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9"/>
  <sheetViews>
    <sheetView zoomScale="69" zoomScaleNormal="69" zoomScalePageLayoutView="0" workbookViewId="0" topLeftCell="B1">
      <pane xSplit="2" ySplit="8" topLeftCell="D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U2" sqref="U1:X1638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1.5039062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4.753906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3.125" style="4" hidden="1" customWidth="1"/>
    <col min="25" max="25" width="13.50390625" style="186" hidden="1" customWidth="1"/>
    <col min="26" max="16384" width="9.125" style="4" customWidth="1"/>
  </cols>
  <sheetData>
    <row r="1" spans="1:25" s="1" customFormat="1" ht="26.25" customHeight="1">
      <c r="A1" s="356" t="s">
        <v>128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186"/>
    </row>
    <row r="2" spans="2:25" s="1" customFormat="1" ht="15.75" customHeight="1">
      <c r="B2" s="357"/>
      <c r="C2" s="357"/>
      <c r="D2" s="357"/>
      <c r="E2" s="357"/>
      <c r="F2" s="2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358"/>
      <c r="B3" s="360"/>
      <c r="C3" s="361" t="s">
        <v>0</v>
      </c>
      <c r="D3" s="394" t="s">
        <v>131</v>
      </c>
      <c r="E3" s="362" t="s">
        <v>131</v>
      </c>
      <c r="F3" s="25"/>
      <c r="G3" s="363" t="s">
        <v>26</v>
      </c>
      <c r="H3" s="364"/>
      <c r="I3" s="364"/>
      <c r="J3" s="364"/>
      <c r="K3" s="365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366" t="s">
        <v>140</v>
      </c>
      <c r="V3" s="369" t="s">
        <v>124</v>
      </c>
      <c r="W3" s="369"/>
      <c r="X3" s="369"/>
      <c r="Y3" s="194"/>
    </row>
    <row r="4" spans="1:24" ht="22.5" customHeight="1">
      <c r="A4" s="358"/>
      <c r="B4" s="360"/>
      <c r="C4" s="361"/>
      <c r="D4" s="395"/>
      <c r="E4" s="362"/>
      <c r="F4" s="370" t="s">
        <v>138</v>
      </c>
      <c r="G4" s="372" t="s">
        <v>31</v>
      </c>
      <c r="H4" s="374" t="s">
        <v>122</v>
      </c>
      <c r="I4" s="367" t="s">
        <v>123</v>
      </c>
      <c r="J4" s="374" t="s">
        <v>132</v>
      </c>
      <c r="K4" s="367" t="s">
        <v>133</v>
      </c>
      <c r="L4" s="65" t="s">
        <v>108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367"/>
      <c r="V4" s="376" t="s">
        <v>137</v>
      </c>
      <c r="W4" s="374" t="s">
        <v>44</v>
      </c>
      <c r="X4" s="378" t="s">
        <v>43</v>
      </c>
    </row>
    <row r="5" spans="1:24" ht="67.5" customHeight="1">
      <c r="A5" s="359"/>
      <c r="B5" s="360"/>
      <c r="C5" s="361"/>
      <c r="D5" s="396"/>
      <c r="E5" s="362"/>
      <c r="F5" s="371"/>
      <c r="G5" s="373"/>
      <c r="H5" s="375"/>
      <c r="I5" s="368"/>
      <c r="J5" s="375"/>
      <c r="K5" s="368"/>
      <c r="L5" s="379" t="s">
        <v>109</v>
      </c>
      <c r="M5" s="380"/>
      <c r="N5" s="381"/>
      <c r="O5" s="391" t="s">
        <v>125</v>
      </c>
      <c r="P5" s="392"/>
      <c r="Q5" s="393"/>
      <c r="R5" s="385" t="s">
        <v>127</v>
      </c>
      <c r="S5" s="385"/>
      <c r="T5" s="385"/>
      <c r="U5" s="368"/>
      <c r="V5" s="377"/>
      <c r="W5" s="375"/>
      <c r="X5" s="378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03">
        <f>D9+D15+D18+D19+D23+D17</f>
        <v>1580633.8</v>
      </c>
      <c r="E8" s="103">
        <f>E9+E15+E18+E19+E23+E17</f>
        <v>1580633.8</v>
      </c>
      <c r="F8" s="103">
        <f>F9+F15+F18+F19+F23+F17</f>
        <v>112027.019</v>
      </c>
      <c r="G8" s="103">
        <f>G9+G15+G18+G19+G23+G17</f>
        <v>112027.01</v>
      </c>
      <c r="H8" s="103">
        <f>G8-F8</f>
        <v>-0.00900000000547152</v>
      </c>
      <c r="I8" s="210">
        <f aca="true" t="shared" si="0" ref="I8:I15">G8/F8</f>
        <v>0.9999999196622379</v>
      </c>
      <c r="J8" s="104">
        <f aca="true" t="shared" si="1" ref="J8:J52">G8-E8</f>
        <v>-1468606.79</v>
      </c>
      <c r="K8" s="156">
        <f aca="true" t="shared" si="2" ref="K8:K14">G8/E8</f>
        <v>0.07087474024660234</v>
      </c>
      <c r="L8" s="104"/>
      <c r="M8" s="104"/>
      <c r="N8" s="104"/>
      <c r="O8" s="104">
        <v>1329586.12</v>
      </c>
      <c r="P8" s="104">
        <f aca="true" t="shared" si="3" ref="P8:P22">E8-O8</f>
        <v>251047.67999999993</v>
      </c>
      <c r="Q8" s="156">
        <f aca="true" t="shared" si="4" ref="Q8:Q22">E8/O8</f>
        <v>1.188816411531131</v>
      </c>
      <c r="R8" s="103">
        <v>93856.96</v>
      </c>
      <c r="S8" s="103">
        <f aca="true" t="shared" si="5" ref="S8:S78">G8-R8</f>
        <v>18170.04999999999</v>
      </c>
      <c r="T8" s="143">
        <f aca="true" t="shared" si="6" ref="T8:T20">G8/R8</f>
        <v>1.1935929951279052</v>
      </c>
      <c r="U8" s="103">
        <f>U9+U15+U18+U19+U23+U17</f>
        <v>112027.019</v>
      </c>
      <c r="V8" s="103">
        <f>V9+V15+V18+V19+V23+V17</f>
        <v>112027.01</v>
      </c>
      <c r="W8" s="103">
        <f>V8-U8</f>
        <v>-0.00900000000547152</v>
      </c>
      <c r="X8" s="143">
        <f aca="true" t="shared" si="7" ref="X8:X15">V8/U8</f>
        <v>0.9999999196622379</v>
      </c>
      <c r="Y8" s="199">
        <f aca="true" t="shared" si="8" ref="Y8:Y71">T8-Q8</f>
        <v>0.004776583596774131</v>
      </c>
    </row>
    <row r="9" spans="1:25" s="6" customFormat="1" ht="18">
      <c r="A9" s="8"/>
      <c r="B9" s="88" t="s">
        <v>66</v>
      </c>
      <c r="C9" s="34">
        <v>11010000</v>
      </c>
      <c r="D9" s="228">
        <v>956203</v>
      </c>
      <c r="E9" s="102">
        <v>956203</v>
      </c>
      <c r="F9" s="102">
        <v>63829.339</v>
      </c>
      <c r="G9" s="106">
        <v>63829.29</v>
      </c>
      <c r="H9" s="102">
        <f>G9-F9</f>
        <v>-0.04899999999906868</v>
      </c>
      <c r="I9" s="208">
        <f t="shared" si="0"/>
        <v>0.9999992323279425</v>
      </c>
      <c r="J9" s="108">
        <f t="shared" si="1"/>
        <v>-892373.71</v>
      </c>
      <c r="K9" s="148">
        <f t="shared" si="2"/>
        <v>0.06675286523886664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46924.93</v>
      </c>
      <c r="S9" s="109">
        <f t="shared" si="5"/>
        <v>16904.36</v>
      </c>
      <c r="T9" s="144">
        <f t="shared" si="6"/>
        <v>1.3602426258281046</v>
      </c>
      <c r="U9" s="107">
        <f>F9-0</f>
        <v>63829.339</v>
      </c>
      <c r="V9" s="110">
        <f>G9-0</f>
        <v>63829.29</v>
      </c>
      <c r="W9" s="111">
        <f>V9-U9</f>
        <v>-0.04899999999906868</v>
      </c>
      <c r="X9" s="148">
        <f t="shared" si="7"/>
        <v>0.9999992323279425</v>
      </c>
      <c r="Y9" s="199">
        <f t="shared" si="8"/>
        <v>0.1277392339409471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29">
        <v>881803</v>
      </c>
      <c r="E10" s="71">
        <v>881803</v>
      </c>
      <c r="F10" s="71">
        <v>58978.7</v>
      </c>
      <c r="G10" s="94">
        <v>58978.69</v>
      </c>
      <c r="H10" s="71">
        <f aca="true" t="shared" si="9" ref="H10:H47">G10-F10</f>
        <v>-0.00999999999476131</v>
      </c>
      <c r="I10" s="209">
        <f t="shared" si="0"/>
        <v>0.9999998304472633</v>
      </c>
      <c r="J10" s="72">
        <f t="shared" si="1"/>
        <v>-822824.31</v>
      </c>
      <c r="K10" s="75">
        <f t="shared" si="2"/>
        <v>0.06688420202698335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43142.93</v>
      </c>
      <c r="S10" s="74">
        <f t="shared" si="5"/>
        <v>15835.760000000002</v>
      </c>
      <c r="T10" s="145">
        <f t="shared" si="6"/>
        <v>1.367053419876675</v>
      </c>
      <c r="U10" s="73">
        <f aca="true" t="shared" si="10" ref="U10:U52">F10</f>
        <v>58978.7</v>
      </c>
      <c r="V10" s="98">
        <f aca="true" t="shared" si="11" ref="V10:V52">G10</f>
        <v>58978.69</v>
      </c>
      <c r="W10" s="74">
        <f aca="true" t="shared" si="12" ref="W10:W52">V10-U10</f>
        <v>-0.00999999999476131</v>
      </c>
      <c r="X10" s="75">
        <f t="shared" si="7"/>
        <v>0.9999998304472633</v>
      </c>
      <c r="Y10" s="199">
        <f t="shared" si="8"/>
        <v>0.12490197525368418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29">
        <v>49900</v>
      </c>
      <c r="E11" s="71">
        <v>49900</v>
      </c>
      <c r="F11" s="71">
        <v>3484.7</v>
      </c>
      <c r="G11" s="94">
        <v>3484.7</v>
      </c>
      <c r="H11" s="71">
        <f t="shared" si="9"/>
        <v>0</v>
      </c>
      <c r="I11" s="209">
        <f t="shared" si="0"/>
        <v>1</v>
      </c>
      <c r="J11" s="72">
        <f t="shared" si="1"/>
        <v>-46415.3</v>
      </c>
      <c r="K11" s="75">
        <f t="shared" si="2"/>
        <v>0.06983366733466934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2681.7</v>
      </c>
      <c r="S11" s="74">
        <f t="shared" si="5"/>
        <v>803</v>
      </c>
      <c r="T11" s="145">
        <f t="shared" si="6"/>
        <v>1.2994369243390387</v>
      </c>
      <c r="U11" s="73">
        <f t="shared" si="10"/>
        <v>3484.7</v>
      </c>
      <c r="V11" s="98">
        <f t="shared" si="11"/>
        <v>3484.7</v>
      </c>
      <c r="W11" s="74">
        <f t="shared" si="12"/>
        <v>0</v>
      </c>
      <c r="X11" s="75">
        <f t="shared" si="7"/>
        <v>1</v>
      </c>
      <c r="Y11" s="199">
        <f t="shared" si="8"/>
        <v>0.12577244984554325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29">
        <v>12000</v>
      </c>
      <c r="E12" s="71">
        <v>12000</v>
      </c>
      <c r="F12" s="71">
        <v>744.409</v>
      </c>
      <c r="G12" s="94">
        <v>744.39</v>
      </c>
      <c r="H12" s="71">
        <f t="shared" si="9"/>
        <v>-0.019000000000005457</v>
      </c>
      <c r="I12" s="209">
        <f t="shared" si="0"/>
        <v>0.999974476396712</v>
      </c>
      <c r="J12" s="72">
        <f t="shared" si="1"/>
        <v>-11255.61</v>
      </c>
      <c r="K12" s="75">
        <f t="shared" si="2"/>
        <v>0.0620325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500.43</v>
      </c>
      <c r="S12" s="74">
        <f t="shared" si="5"/>
        <v>243.95999999999998</v>
      </c>
      <c r="T12" s="145">
        <f t="shared" si="6"/>
        <v>1.487500749355554</v>
      </c>
      <c r="U12" s="73">
        <f t="shared" si="10"/>
        <v>744.409</v>
      </c>
      <c r="V12" s="98">
        <f t="shared" si="11"/>
        <v>744.39</v>
      </c>
      <c r="W12" s="74">
        <f t="shared" si="12"/>
        <v>-0.019000000000005457</v>
      </c>
      <c r="X12" s="75">
        <f t="shared" si="7"/>
        <v>0.999974476396712</v>
      </c>
      <c r="Y12" s="199">
        <f t="shared" si="8"/>
        <v>0.4868461544747362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29">
        <v>12000</v>
      </c>
      <c r="E13" s="71">
        <v>12000</v>
      </c>
      <c r="F13" s="71">
        <v>475.9</v>
      </c>
      <c r="G13" s="94">
        <v>475.87</v>
      </c>
      <c r="H13" s="71">
        <f t="shared" si="9"/>
        <v>-0.029999999999972715</v>
      </c>
      <c r="I13" s="209">
        <f t="shared" si="0"/>
        <v>0.9999369615465434</v>
      </c>
      <c r="J13" s="72">
        <f t="shared" si="1"/>
        <v>-11524.13</v>
      </c>
      <c r="K13" s="75">
        <f t="shared" si="2"/>
        <v>0.039655833333333335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499.36</v>
      </c>
      <c r="S13" s="74">
        <f t="shared" si="5"/>
        <v>-23.49000000000001</v>
      </c>
      <c r="T13" s="145">
        <f t="shared" si="6"/>
        <v>0.9529597885293175</v>
      </c>
      <c r="U13" s="73">
        <f t="shared" si="10"/>
        <v>475.9</v>
      </c>
      <c r="V13" s="98">
        <f t="shared" si="11"/>
        <v>475.87</v>
      </c>
      <c r="W13" s="74">
        <f t="shared" si="12"/>
        <v>-0.029999999999972715</v>
      </c>
      <c r="X13" s="75">
        <f t="shared" si="7"/>
        <v>0.9999369615465434</v>
      </c>
      <c r="Y13" s="199">
        <f t="shared" si="8"/>
        <v>-0.24263921155138557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29">
        <v>500</v>
      </c>
      <c r="E14" s="71">
        <v>500</v>
      </c>
      <c r="F14" s="71">
        <v>145.63</v>
      </c>
      <c r="G14" s="94">
        <v>145.63</v>
      </c>
      <c r="H14" s="71">
        <f t="shared" si="9"/>
        <v>0</v>
      </c>
      <c r="I14" s="209">
        <f t="shared" si="0"/>
        <v>1</v>
      </c>
      <c r="J14" s="72">
        <f t="shared" si="1"/>
        <v>-354.37</v>
      </c>
      <c r="K14" s="75">
        <f t="shared" si="2"/>
        <v>0.29125999999999996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100.5</v>
      </c>
      <c r="S14" s="74">
        <f t="shared" si="5"/>
        <v>45.129999999999995</v>
      </c>
      <c r="T14" s="145">
        <f t="shared" si="6"/>
        <v>1.4490547263681592</v>
      </c>
      <c r="U14" s="73">
        <f t="shared" si="10"/>
        <v>145.63</v>
      </c>
      <c r="V14" s="98">
        <f t="shared" si="11"/>
        <v>145.63</v>
      </c>
      <c r="W14" s="74">
        <f t="shared" si="12"/>
        <v>0</v>
      </c>
      <c r="X14" s="75">
        <f t="shared" si="7"/>
        <v>1</v>
      </c>
      <c r="Y14" s="199">
        <f t="shared" si="8"/>
        <v>1.0858621180641235</v>
      </c>
    </row>
    <row r="15" spans="1:25" s="6" customFormat="1" ht="30.75">
      <c r="A15" s="8"/>
      <c r="B15" s="89" t="s">
        <v>11</v>
      </c>
      <c r="C15" s="34">
        <v>11020200</v>
      </c>
      <c r="D15" s="228">
        <v>900</v>
      </c>
      <c r="E15" s="102">
        <v>900</v>
      </c>
      <c r="F15" s="102">
        <v>0</v>
      </c>
      <c r="G15" s="106">
        <v>0</v>
      </c>
      <c r="H15" s="102">
        <f t="shared" si="9"/>
        <v>0</v>
      </c>
      <c r="I15" s="208" t="e">
        <f t="shared" si="0"/>
        <v>#DIV/0!</v>
      </c>
      <c r="J15" s="108">
        <f t="shared" si="1"/>
        <v>-900</v>
      </c>
      <c r="K15" s="108">
        <f aca="true" t="shared" si="13" ref="K15:K23">G15/E15*100</f>
        <v>0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0</v>
      </c>
      <c r="S15" s="111">
        <f t="shared" si="5"/>
        <v>0</v>
      </c>
      <c r="T15" s="146" t="e">
        <f t="shared" si="6"/>
        <v>#DIV/0!</v>
      </c>
      <c r="U15" s="107">
        <f t="shared" si="10"/>
        <v>0</v>
      </c>
      <c r="V15" s="110">
        <f t="shared" si="11"/>
        <v>0</v>
      </c>
      <c r="W15" s="111">
        <f t="shared" si="12"/>
        <v>0</v>
      </c>
      <c r="X15" s="148" t="e">
        <f t="shared" si="7"/>
        <v>#DIV/0!</v>
      </c>
      <c r="Y15" s="199" t="e">
        <f t="shared" si="8"/>
        <v>#DIV/0!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0"/>
      <c r="E16" s="71"/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3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 t="shared" si="10"/>
        <v>0</v>
      </c>
      <c r="V16" s="110">
        <f t="shared" si="11"/>
        <v>0</v>
      </c>
      <c r="W16" s="111">
        <f t="shared" si="12"/>
        <v>0</v>
      </c>
      <c r="X16" s="148" t="e">
        <f>V16/U16*100</f>
        <v>#DIV/0!</v>
      </c>
      <c r="Y16" s="199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81"/>
      <c r="E17" s="112"/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 t="shared" si="10"/>
        <v>0</v>
      </c>
      <c r="V17" s="110">
        <f t="shared" si="11"/>
        <v>0</v>
      </c>
      <c r="W17" s="111">
        <f t="shared" si="12"/>
        <v>0</v>
      </c>
      <c r="X17" s="148"/>
      <c r="Y17" s="199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0">
        <v>235.6</v>
      </c>
      <c r="E18" s="102">
        <v>235.6</v>
      </c>
      <c r="F18" s="102">
        <v>0</v>
      </c>
      <c r="G18" s="106">
        <v>0</v>
      </c>
      <c r="H18" s="102">
        <f t="shared" si="9"/>
        <v>0</v>
      </c>
      <c r="I18" s="208" t="e">
        <f aca="true" t="shared" si="14" ref="I18:I41">G18/F18</f>
        <v>#DIV/0!</v>
      </c>
      <c r="J18" s="108">
        <f t="shared" si="1"/>
        <v>-235.6</v>
      </c>
      <c r="K18" s="108">
        <f t="shared" si="13"/>
        <v>0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0</v>
      </c>
      <c r="T18" s="146" t="e">
        <f t="shared" si="6"/>
        <v>#DIV/0!</v>
      </c>
      <c r="U18" s="107">
        <f t="shared" si="10"/>
        <v>0</v>
      </c>
      <c r="V18" s="110">
        <f t="shared" si="11"/>
        <v>0</v>
      </c>
      <c r="W18" s="111">
        <f t="shared" si="12"/>
        <v>0</v>
      </c>
      <c r="X18" s="148" t="e">
        <f aca="true" t="shared" si="15" ref="X18:X25">V18/U18</f>
        <v>#DIV/0!</v>
      </c>
      <c r="Y18" s="199" t="e">
        <f t="shared" si="8"/>
        <v>#DIV/0!</v>
      </c>
    </row>
    <row r="19" spans="1:25" s="6" customFormat="1" ht="18">
      <c r="A19" s="8"/>
      <c r="B19" s="88" t="s">
        <v>102</v>
      </c>
      <c r="C19" s="34"/>
      <c r="D19" s="129">
        <f>D20+D21+D22</f>
        <v>151728</v>
      </c>
      <c r="E19" s="102">
        <v>151728</v>
      </c>
      <c r="F19" s="102">
        <f>F20+F21+F22</f>
        <v>4989.58</v>
      </c>
      <c r="G19" s="158">
        <v>4989.58</v>
      </c>
      <c r="H19" s="102">
        <f t="shared" si="9"/>
        <v>0</v>
      </c>
      <c r="I19" s="208">
        <f t="shared" si="14"/>
        <v>1</v>
      </c>
      <c r="J19" s="108">
        <f t="shared" si="1"/>
        <v>-146738.42</v>
      </c>
      <c r="K19" s="108">
        <f t="shared" si="13"/>
        <v>3.288503110829906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9751.75</v>
      </c>
      <c r="S19" s="111">
        <f t="shared" si="5"/>
        <v>-4762.17</v>
      </c>
      <c r="T19" s="146">
        <f t="shared" si="6"/>
        <v>0.5116599584689927</v>
      </c>
      <c r="U19" s="107">
        <f t="shared" si="10"/>
        <v>4989.58</v>
      </c>
      <c r="V19" s="110">
        <f t="shared" si="11"/>
        <v>4989.58</v>
      </c>
      <c r="W19" s="111">
        <f t="shared" si="12"/>
        <v>0</v>
      </c>
      <c r="X19" s="148">
        <f t="shared" si="15"/>
        <v>1</v>
      </c>
      <c r="Y19" s="199">
        <f t="shared" si="8"/>
        <v>-0.7325206550177978</v>
      </c>
    </row>
    <row r="20" spans="1:25" s="6" customFormat="1" ht="61.5">
      <c r="A20" s="8"/>
      <c r="B20" s="169" t="s">
        <v>105</v>
      </c>
      <c r="C20" s="84">
        <v>14040000</v>
      </c>
      <c r="D20" s="229">
        <v>66708</v>
      </c>
      <c r="E20" s="170">
        <v>66708</v>
      </c>
      <c r="F20" s="170">
        <v>4989.58</v>
      </c>
      <c r="G20" s="141">
        <v>4989.58</v>
      </c>
      <c r="H20" s="170">
        <f t="shared" si="9"/>
        <v>0</v>
      </c>
      <c r="I20" s="211">
        <f t="shared" si="14"/>
        <v>1</v>
      </c>
      <c r="J20" s="171">
        <f t="shared" si="1"/>
        <v>-61718.42</v>
      </c>
      <c r="K20" s="171">
        <f t="shared" si="13"/>
        <v>7.479732565809198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9751.75</v>
      </c>
      <c r="S20" s="116">
        <f t="shared" si="5"/>
        <v>-4762.17</v>
      </c>
      <c r="T20" s="172">
        <f t="shared" si="6"/>
        <v>0.5116599584689927</v>
      </c>
      <c r="U20" s="136">
        <f t="shared" si="10"/>
        <v>4989.58</v>
      </c>
      <c r="V20" s="124">
        <f t="shared" si="11"/>
        <v>4989.58</v>
      </c>
      <c r="W20" s="116">
        <f t="shared" si="12"/>
        <v>0</v>
      </c>
      <c r="X20" s="180">
        <f t="shared" si="15"/>
        <v>1</v>
      </c>
      <c r="Y20" s="199">
        <f t="shared" si="8"/>
        <v>-0.5866590904711413</v>
      </c>
    </row>
    <row r="21" spans="1:25" s="6" customFormat="1" ht="18">
      <c r="A21" s="8"/>
      <c r="B21" s="169" t="s">
        <v>100</v>
      </c>
      <c r="C21" s="84">
        <v>14021900</v>
      </c>
      <c r="D21" s="229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4"/>
        <v>#DIV/0!</v>
      </c>
      <c r="J21" s="171">
        <f t="shared" si="1"/>
        <v>-15696</v>
      </c>
      <c r="K21" s="171">
        <f t="shared" si="13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/>
      <c r="U21" s="136">
        <f t="shared" si="10"/>
        <v>0</v>
      </c>
      <c r="V21" s="124">
        <f t="shared" si="11"/>
        <v>0</v>
      </c>
      <c r="W21" s="116">
        <f t="shared" si="12"/>
        <v>0</v>
      </c>
      <c r="X21" s="180" t="e">
        <f t="shared" si="15"/>
        <v>#DIV/0!</v>
      </c>
      <c r="Y21" s="199">
        <f t="shared" si="8"/>
        <v>-1.2528025630731336</v>
      </c>
    </row>
    <row r="22" spans="1:28" s="6" customFormat="1" ht="18">
      <c r="A22" s="8"/>
      <c r="B22" s="169" t="s">
        <v>101</v>
      </c>
      <c r="C22" s="84">
        <v>14031900</v>
      </c>
      <c r="D22" s="229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4"/>
        <v>#DIV/0!</v>
      </c>
      <c r="J22" s="171">
        <f t="shared" si="1"/>
        <v>-69324</v>
      </c>
      <c r="K22" s="171">
        <f t="shared" si="13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/>
      <c r="U22" s="136">
        <f t="shared" si="10"/>
        <v>0</v>
      </c>
      <c r="V22" s="124">
        <f t="shared" si="11"/>
        <v>0</v>
      </c>
      <c r="W22" s="116">
        <f t="shared" si="12"/>
        <v>0</v>
      </c>
      <c r="X22" s="180" t="e">
        <f t="shared" si="15"/>
        <v>#DIV/0!</v>
      </c>
      <c r="Y22" s="199">
        <f t="shared" si="8"/>
        <v>-1.4239299266426728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43208.1</v>
      </c>
      <c r="G23" s="158">
        <v>43208.14</v>
      </c>
      <c r="H23" s="102">
        <f t="shared" si="9"/>
        <v>0.040000000000873115</v>
      </c>
      <c r="I23" s="208">
        <f t="shared" si="14"/>
        <v>1.0000009257523474</v>
      </c>
      <c r="J23" s="108">
        <f t="shared" si="1"/>
        <v>-428359.05999999994</v>
      </c>
      <c r="K23" s="108">
        <f t="shared" si="13"/>
        <v>9.162668650406559</v>
      </c>
      <c r="L23" s="108"/>
      <c r="M23" s="108"/>
      <c r="N23" s="108"/>
      <c r="O23" s="108">
        <v>430705.5</v>
      </c>
      <c r="P23" s="108">
        <f aca="true" t="shared" si="16" ref="P23:P51">E23-O23</f>
        <v>40861.69999999995</v>
      </c>
      <c r="Q23" s="148">
        <f aca="true" t="shared" si="17" ref="Q23:Q51">E23/O23</f>
        <v>1.0948715537646954</v>
      </c>
      <c r="R23" s="108">
        <v>37180.29</v>
      </c>
      <c r="S23" s="111">
        <f t="shared" si="5"/>
        <v>6027.8499999999985</v>
      </c>
      <c r="T23" s="147">
        <f aca="true" t="shared" si="18" ref="T23:T41">G23/R23</f>
        <v>1.1621248785310712</v>
      </c>
      <c r="U23" s="107">
        <f t="shared" si="10"/>
        <v>43208.1</v>
      </c>
      <c r="V23" s="110">
        <f t="shared" si="11"/>
        <v>43208.14</v>
      </c>
      <c r="W23" s="111">
        <f t="shared" si="12"/>
        <v>0.040000000000873115</v>
      </c>
      <c r="X23" s="148">
        <f t="shared" si="15"/>
        <v>1.0000009257523474</v>
      </c>
      <c r="Y23" s="199">
        <f t="shared" si="8"/>
        <v>0.0672533247663758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18151.51</v>
      </c>
      <c r="G24" s="158">
        <f>G25+G32+G35</f>
        <v>18152.42</v>
      </c>
      <c r="H24" s="102">
        <f t="shared" si="9"/>
        <v>0.9099999999998545</v>
      </c>
      <c r="I24" s="208">
        <f t="shared" si="14"/>
        <v>1.0000501335701548</v>
      </c>
      <c r="J24" s="108">
        <f t="shared" si="1"/>
        <v>-198689.58000000002</v>
      </c>
      <c r="K24" s="148">
        <f aca="true" t="shared" si="19" ref="K24:K41">G24/E24</f>
        <v>0.08371265714206656</v>
      </c>
      <c r="L24" s="108"/>
      <c r="M24" s="108"/>
      <c r="N24" s="108"/>
      <c r="O24" s="108">
        <v>207231.03</v>
      </c>
      <c r="P24" s="108">
        <f t="shared" si="16"/>
        <v>9610.970000000001</v>
      </c>
      <c r="Q24" s="148">
        <f t="shared" si="17"/>
        <v>1.0463780448323787</v>
      </c>
      <c r="R24" s="108">
        <v>16520.28</v>
      </c>
      <c r="S24" s="111">
        <f t="shared" si="5"/>
        <v>1632.1399999999994</v>
      </c>
      <c r="T24" s="147">
        <f t="shared" si="18"/>
        <v>1.0987961463122902</v>
      </c>
      <c r="U24" s="107">
        <f t="shared" si="10"/>
        <v>18151.51</v>
      </c>
      <c r="V24" s="110">
        <f t="shared" si="11"/>
        <v>18152.42</v>
      </c>
      <c r="W24" s="111">
        <f t="shared" si="12"/>
        <v>0.9099999999998545</v>
      </c>
      <c r="X24" s="148">
        <f t="shared" si="15"/>
        <v>1.0000501335701548</v>
      </c>
      <c r="Y24" s="199">
        <f t="shared" si="8"/>
        <v>0.05241810147991144</v>
      </c>
      <c r="AB24" s="227"/>
    </row>
    <row r="25" spans="1:26" s="6" customFormat="1" ht="18">
      <c r="A25" s="8"/>
      <c r="B25" s="41" t="s">
        <v>61</v>
      </c>
      <c r="C25" s="84"/>
      <c r="D25" s="251">
        <f>D26+D27</f>
        <v>28784</v>
      </c>
      <c r="E25" s="170">
        <f>E26+E27</f>
        <v>28784</v>
      </c>
      <c r="F25" s="170">
        <f>F26+F27</f>
        <v>4641</v>
      </c>
      <c r="G25" s="141">
        <v>4641.89</v>
      </c>
      <c r="H25" s="170">
        <f t="shared" si="9"/>
        <v>0.8900000000003274</v>
      </c>
      <c r="I25" s="211">
        <f t="shared" si="14"/>
        <v>1.0001917690152986</v>
      </c>
      <c r="J25" s="171">
        <f t="shared" si="1"/>
        <v>-24142.11</v>
      </c>
      <c r="K25" s="180">
        <f t="shared" si="19"/>
        <v>0.16126632851584213</v>
      </c>
      <c r="L25" s="171"/>
      <c r="M25" s="171"/>
      <c r="N25" s="171"/>
      <c r="O25" s="171">
        <v>25414.16</v>
      </c>
      <c r="P25" s="171">
        <f t="shared" si="16"/>
        <v>3369.84</v>
      </c>
      <c r="Q25" s="180">
        <f t="shared" si="17"/>
        <v>1.1325969459545386</v>
      </c>
      <c r="R25" s="179">
        <v>3819.61</v>
      </c>
      <c r="S25" s="116">
        <f t="shared" si="5"/>
        <v>822.2800000000002</v>
      </c>
      <c r="T25" s="152">
        <f t="shared" si="18"/>
        <v>1.2152785232000125</v>
      </c>
      <c r="U25" s="107">
        <f t="shared" si="10"/>
        <v>4641</v>
      </c>
      <c r="V25" s="110">
        <f t="shared" si="11"/>
        <v>4641.89</v>
      </c>
      <c r="W25" s="116">
        <f t="shared" si="12"/>
        <v>0.8900000000003274</v>
      </c>
      <c r="X25" s="180">
        <f t="shared" si="15"/>
        <v>1.0001917690152986</v>
      </c>
      <c r="Y25" s="199">
        <f t="shared" si="8"/>
        <v>0.08268157724547387</v>
      </c>
      <c r="Z25" s="101"/>
    </row>
    <row r="26" spans="1:26" s="6" customFormat="1" ht="18" customHeight="1" hidden="1">
      <c r="A26" s="8"/>
      <c r="B26" s="137" t="s">
        <v>92</v>
      </c>
      <c r="C26" s="138"/>
      <c r="D26" s="139">
        <f>D28+D29</f>
        <v>1522</v>
      </c>
      <c r="E26" s="139">
        <f>E28+E29</f>
        <v>1522</v>
      </c>
      <c r="F26" s="139">
        <f>F28+F29</f>
        <v>155.11</v>
      </c>
      <c r="G26" s="139">
        <f>G28+G29</f>
        <v>155.11</v>
      </c>
      <c r="H26" s="158">
        <f t="shared" si="9"/>
        <v>0</v>
      </c>
      <c r="I26" s="212">
        <f t="shared" si="14"/>
        <v>1</v>
      </c>
      <c r="J26" s="176">
        <f t="shared" si="1"/>
        <v>-1366.8899999999999</v>
      </c>
      <c r="K26" s="191">
        <f t="shared" si="19"/>
        <v>0.10191195795006572</v>
      </c>
      <c r="L26" s="176"/>
      <c r="M26" s="176"/>
      <c r="N26" s="176"/>
      <c r="O26" s="176">
        <f>O28+O29</f>
        <v>1512.89</v>
      </c>
      <c r="P26" s="176">
        <f t="shared" si="16"/>
        <v>9.1099999999999</v>
      </c>
      <c r="Q26" s="191">
        <f t="shared" si="17"/>
        <v>1.006021587821983</v>
      </c>
      <c r="R26" s="140">
        <f>R28+R29</f>
        <v>120.37</v>
      </c>
      <c r="S26" s="201">
        <f t="shared" si="5"/>
        <v>34.74000000000001</v>
      </c>
      <c r="T26" s="162">
        <f t="shared" si="18"/>
        <v>1.2886101188003656</v>
      </c>
      <c r="U26" s="167">
        <f t="shared" si="10"/>
        <v>155.11</v>
      </c>
      <c r="V26" s="167">
        <f t="shared" si="11"/>
        <v>155.11</v>
      </c>
      <c r="W26" s="176">
        <f t="shared" si="12"/>
        <v>0</v>
      </c>
      <c r="X26" s="191">
        <f aca="true" t="shared" si="20" ref="X26:X41">V26/U26</f>
        <v>1</v>
      </c>
      <c r="Y26" s="199">
        <f t="shared" si="8"/>
        <v>0.28258853097838266</v>
      </c>
      <c r="Z26" s="101"/>
    </row>
    <row r="27" spans="1:26" s="6" customFormat="1" ht="18" customHeight="1" hidden="1">
      <c r="A27" s="8"/>
      <c r="B27" s="137" t="s">
        <v>93</v>
      </c>
      <c r="C27" s="138"/>
      <c r="D27" s="139">
        <f>D30+D31</f>
        <v>27262</v>
      </c>
      <c r="E27" s="139">
        <f>E30+E31</f>
        <v>27262</v>
      </c>
      <c r="F27" s="139">
        <f>F30+F31</f>
        <v>4485.89</v>
      </c>
      <c r="G27" s="139">
        <f>G30+G31</f>
        <v>4486.79</v>
      </c>
      <c r="H27" s="158">
        <f t="shared" si="9"/>
        <v>0.8999999999996362</v>
      </c>
      <c r="I27" s="212">
        <f t="shared" si="14"/>
        <v>1.0002006290836378</v>
      </c>
      <c r="J27" s="176">
        <f t="shared" si="1"/>
        <v>-22775.21</v>
      </c>
      <c r="K27" s="191">
        <f t="shared" si="19"/>
        <v>0.16458036827818942</v>
      </c>
      <c r="L27" s="176"/>
      <c r="M27" s="176"/>
      <c r="N27" s="176"/>
      <c r="O27" s="176">
        <f>O30+O31</f>
        <v>23901.28</v>
      </c>
      <c r="P27" s="176">
        <f t="shared" si="16"/>
        <v>3360.720000000001</v>
      </c>
      <c r="Q27" s="191">
        <f t="shared" si="17"/>
        <v>1.1406083690915299</v>
      </c>
      <c r="R27" s="140">
        <f>R30+R31</f>
        <v>3699.25</v>
      </c>
      <c r="S27" s="201">
        <f t="shared" si="5"/>
        <v>787.54</v>
      </c>
      <c r="T27" s="162">
        <f t="shared" si="18"/>
        <v>1.212891802392377</v>
      </c>
      <c r="U27" s="167">
        <f t="shared" si="10"/>
        <v>4485.89</v>
      </c>
      <c r="V27" s="167">
        <f t="shared" si="11"/>
        <v>4486.79</v>
      </c>
      <c r="W27" s="176">
        <f t="shared" si="12"/>
        <v>0.8999999999996362</v>
      </c>
      <c r="X27" s="191">
        <f t="shared" si="20"/>
        <v>1.0002006290836378</v>
      </c>
      <c r="Y27" s="199">
        <f t="shared" si="8"/>
        <v>0.07228343330084708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2">
        <v>316</v>
      </c>
      <c r="E28" s="242">
        <v>316</v>
      </c>
      <c r="F28" s="219">
        <v>29.3</v>
      </c>
      <c r="G28" s="206">
        <v>29.3</v>
      </c>
      <c r="H28" s="218">
        <f t="shared" si="9"/>
        <v>0</v>
      </c>
      <c r="I28" s="220">
        <f t="shared" si="14"/>
        <v>1</v>
      </c>
      <c r="J28" s="221">
        <f t="shared" si="1"/>
        <v>-286.7</v>
      </c>
      <c r="K28" s="222">
        <f t="shared" si="19"/>
        <v>0.09272151898734178</v>
      </c>
      <c r="L28" s="176"/>
      <c r="M28" s="176"/>
      <c r="N28" s="176"/>
      <c r="O28" s="221">
        <v>275.91</v>
      </c>
      <c r="P28" s="221">
        <f t="shared" si="16"/>
        <v>40.089999999999975</v>
      </c>
      <c r="Q28" s="222">
        <f t="shared" si="17"/>
        <v>1.1453010039505636</v>
      </c>
      <c r="R28" s="221">
        <v>108.25</v>
      </c>
      <c r="S28" s="221">
        <f t="shared" si="5"/>
        <v>-78.95</v>
      </c>
      <c r="T28" s="222">
        <f t="shared" si="18"/>
        <v>0.2706697459584296</v>
      </c>
      <c r="U28" s="206">
        <f t="shared" si="10"/>
        <v>29.3</v>
      </c>
      <c r="V28" s="206">
        <f t="shared" si="11"/>
        <v>29.3</v>
      </c>
      <c r="W28" s="221">
        <f t="shared" si="12"/>
        <v>0</v>
      </c>
      <c r="X28" s="222">
        <f t="shared" si="20"/>
        <v>1</v>
      </c>
      <c r="Y28" s="199">
        <f t="shared" si="8"/>
        <v>-0.874631257992134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2">
        <v>1206</v>
      </c>
      <c r="E29" s="242">
        <v>1206</v>
      </c>
      <c r="F29" s="219">
        <v>125.81</v>
      </c>
      <c r="G29" s="206">
        <v>125.81</v>
      </c>
      <c r="H29" s="218">
        <f t="shared" si="9"/>
        <v>0</v>
      </c>
      <c r="I29" s="220">
        <f t="shared" si="14"/>
        <v>1</v>
      </c>
      <c r="J29" s="221">
        <f t="shared" si="1"/>
        <v>-1080.19</v>
      </c>
      <c r="K29" s="222">
        <f t="shared" si="19"/>
        <v>0.1043200663349917</v>
      </c>
      <c r="L29" s="176"/>
      <c r="M29" s="176"/>
      <c r="N29" s="176"/>
      <c r="O29" s="221">
        <v>1236.98</v>
      </c>
      <c r="P29" s="221">
        <f t="shared" si="16"/>
        <v>-30.980000000000018</v>
      </c>
      <c r="Q29" s="222">
        <f t="shared" si="17"/>
        <v>0.9749551326618053</v>
      </c>
      <c r="R29" s="221">
        <v>12.12</v>
      </c>
      <c r="S29" s="221">
        <f t="shared" si="5"/>
        <v>113.69</v>
      </c>
      <c r="T29" s="222">
        <f t="shared" si="18"/>
        <v>10.380363036303631</v>
      </c>
      <c r="U29" s="206">
        <f t="shared" si="10"/>
        <v>125.81</v>
      </c>
      <c r="V29" s="206">
        <f t="shared" si="11"/>
        <v>125.81</v>
      </c>
      <c r="W29" s="221">
        <f t="shared" si="12"/>
        <v>0</v>
      </c>
      <c r="X29" s="222">
        <f t="shared" si="20"/>
        <v>1</v>
      </c>
      <c r="Y29" s="199">
        <f t="shared" si="8"/>
        <v>9.405407903641827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2">
        <v>2355</v>
      </c>
      <c r="E30" s="242">
        <v>2355</v>
      </c>
      <c r="F30" s="219">
        <f>280.99-0.9</f>
        <v>280.09000000000003</v>
      </c>
      <c r="G30" s="206">
        <v>280.99</v>
      </c>
      <c r="H30" s="218">
        <f t="shared" si="9"/>
        <v>0.8999999999999773</v>
      </c>
      <c r="I30" s="220">
        <f t="shared" si="14"/>
        <v>1.0032132528830018</v>
      </c>
      <c r="J30" s="221">
        <f t="shared" si="1"/>
        <v>-2074.01</v>
      </c>
      <c r="K30" s="222">
        <f t="shared" si="19"/>
        <v>0.11931634819532909</v>
      </c>
      <c r="L30" s="176"/>
      <c r="M30" s="176"/>
      <c r="N30" s="176"/>
      <c r="O30" s="221">
        <v>2220.25</v>
      </c>
      <c r="P30" s="221">
        <f t="shared" si="16"/>
        <v>134.75</v>
      </c>
      <c r="Q30" s="222">
        <f t="shared" si="17"/>
        <v>1.0606913635851818</v>
      </c>
      <c r="R30" s="221">
        <v>17.34</v>
      </c>
      <c r="S30" s="221">
        <f t="shared" si="5"/>
        <v>263.65000000000003</v>
      </c>
      <c r="T30" s="222">
        <f t="shared" si="18"/>
        <v>16.20472895040369</v>
      </c>
      <c r="U30" s="206">
        <f t="shared" si="10"/>
        <v>280.09000000000003</v>
      </c>
      <c r="V30" s="206">
        <f t="shared" si="11"/>
        <v>280.99</v>
      </c>
      <c r="W30" s="221">
        <f t="shared" si="12"/>
        <v>0.8999999999999773</v>
      </c>
      <c r="X30" s="222">
        <f t="shared" si="20"/>
        <v>1.0032132528830018</v>
      </c>
      <c r="Y30" s="199">
        <f t="shared" si="8"/>
        <v>15.14403758681851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2">
        <v>24907</v>
      </c>
      <c r="E31" s="242">
        <v>24907</v>
      </c>
      <c r="F31" s="219">
        <v>4205.8</v>
      </c>
      <c r="G31" s="206">
        <v>4205.8</v>
      </c>
      <c r="H31" s="218">
        <f t="shared" si="9"/>
        <v>0</v>
      </c>
      <c r="I31" s="220">
        <f t="shared" si="14"/>
        <v>1</v>
      </c>
      <c r="J31" s="221">
        <f t="shared" si="1"/>
        <v>-20701.2</v>
      </c>
      <c r="K31" s="222">
        <f t="shared" si="19"/>
        <v>0.1688601597944353</v>
      </c>
      <c r="L31" s="176"/>
      <c r="M31" s="176"/>
      <c r="N31" s="176"/>
      <c r="O31" s="221">
        <v>21681.03</v>
      </c>
      <c r="P31" s="221">
        <f t="shared" si="16"/>
        <v>3225.970000000001</v>
      </c>
      <c r="Q31" s="222">
        <f t="shared" si="17"/>
        <v>1.148792285237371</v>
      </c>
      <c r="R31" s="221">
        <v>3681.91</v>
      </c>
      <c r="S31" s="221">
        <f t="shared" si="5"/>
        <v>523.8900000000003</v>
      </c>
      <c r="T31" s="222">
        <f t="shared" si="18"/>
        <v>1.1422875627052265</v>
      </c>
      <c r="U31" s="206">
        <f t="shared" si="10"/>
        <v>4205.8</v>
      </c>
      <c r="V31" s="206">
        <f t="shared" si="11"/>
        <v>4205.8</v>
      </c>
      <c r="W31" s="221"/>
      <c r="X31" s="222">
        <f t="shared" si="20"/>
        <v>1</v>
      </c>
      <c r="Y31" s="199">
        <f t="shared" si="8"/>
        <v>-0.0065047225321446245</v>
      </c>
    </row>
    <row r="32" spans="1:25" s="6" customFormat="1" ht="18">
      <c r="A32" s="8"/>
      <c r="B32" s="41" t="s">
        <v>62</v>
      </c>
      <c r="C32" s="84"/>
      <c r="D32" s="231">
        <f>D33+D34</f>
        <v>282</v>
      </c>
      <c r="E32" s="119">
        <f>E33+E34</f>
        <v>282</v>
      </c>
      <c r="F32" s="119">
        <f>F33+F34</f>
        <v>157.03</v>
      </c>
      <c r="G32" s="120">
        <v>157.03</v>
      </c>
      <c r="H32" s="170">
        <f t="shared" si="9"/>
        <v>0</v>
      </c>
      <c r="I32" s="211">
        <f t="shared" si="14"/>
        <v>1</v>
      </c>
      <c r="J32" s="171">
        <f t="shared" si="1"/>
        <v>-124.97</v>
      </c>
      <c r="K32" s="180">
        <f t="shared" si="19"/>
        <v>0.5568439716312057</v>
      </c>
      <c r="L32" s="171"/>
      <c r="M32" s="171"/>
      <c r="N32" s="171"/>
      <c r="O32" s="171">
        <v>645.26</v>
      </c>
      <c r="P32" s="171">
        <f t="shared" si="16"/>
        <v>-363.26</v>
      </c>
      <c r="Q32" s="180">
        <f t="shared" si="17"/>
        <v>0.43703313393050863</v>
      </c>
      <c r="R32" s="121">
        <v>52.08</v>
      </c>
      <c r="S32" s="121">
        <f t="shared" si="5"/>
        <v>104.95</v>
      </c>
      <c r="T32" s="150">
        <f t="shared" si="18"/>
        <v>3.0151689708141323</v>
      </c>
      <c r="U32" s="136">
        <f t="shared" si="10"/>
        <v>157.03</v>
      </c>
      <c r="V32" s="124">
        <f t="shared" si="11"/>
        <v>157.03</v>
      </c>
      <c r="W32" s="116">
        <f t="shared" si="12"/>
        <v>0</v>
      </c>
      <c r="X32" s="180">
        <f t="shared" si="20"/>
        <v>1</v>
      </c>
      <c r="Y32" s="199">
        <f t="shared" si="8"/>
        <v>2.578135836883624</v>
      </c>
    </row>
    <row r="33" spans="1:25" s="6" customFormat="1" ht="15" hidden="1">
      <c r="A33" s="8"/>
      <c r="B33" s="41" t="s">
        <v>114</v>
      </c>
      <c r="C33" s="84">
        <v>18011000</v>
      </c>
      <c r="D33" s="229">
        <v>100</v>
      </c>
      <c r="E33" s="229">
        <v>100</v>
      </c>
      <c r="F33" s="223">
        <v>27.85</v>
      </c>
      <c r="G33" s="94">
        <v>27.85</v>
      </c>
      <c r="H33" s="71">
        <f t="shared" si="9"/>
        <v>0</v>
      </c>
      <c r="I33" s="209">
        <f t="shared" si="14"/>
        <v>1</v>
      </c>
      <c r="J33" s="72">
        <f t="shared" si="1"/>
        <v>-72.15</v>
      </c>
      <c r="K33" s="75">
        <f t="shared" si="19"/>
        <v>0.2785</v>
      </c>
      <c r="L33" s="72"/>
      <c r="M33" s="72"/>
      <c r="N33" s="72"/>
      <c r="O33" s="72">
        <v>241.36</v>
      </c>
      <c r="P33" s="72">
        <f t="shared" si="16"/>
        <v>-141.36</v>
      </c>
      <c r="Q33" s="75">
        <f t="shared" si="17"/>
        <v>0.41431885979449784</v>
      </c>
      <c r="R33" s="72">
        <v>0</v>
      </c>
      <c r="S33" s="72">
        <f t="shared" si="5"/>
        <v>27.85</v>
      </c>
      <c r="T33" s="75" t="e">
        <f t="shared" si="18"/>
        <v>#DIV/0!</v>
      </c>
      <c r="U33" s="73">
        <f t="shared" si="10"/>
        <v>27.85</v>
      </c>
      <c r="V33" s="98">
        <f t="shared" si="11"/>
        <v>27.85</v>
      </c>
      <c r="W33" s="74">
        <f t="shared" si="12"/>
        <v>0</v>
      </c>
      <c r="X33" s="75">
        <f t="shared" si="20"/>
        <v>1</v>
      </c>
      <c r="Y33" s="199" t="e">
        <f t="shared" si="8"/>
        <v>#DIV/0!</v>
      </c>
    </row>
    <row r="34" spans="1:25" s="6" customFormat="1" ht="15" hidden="1">
      <c r="A34" s="8"/>
      <c r="B34" s="41" t="s">
        <v>115</v>
      </c>
      <c r="C34" s="84">
        <v>18011100</v>
      </c>
      <c r="D34" s="229">
        <v>182</v>
      </c>
      <c r="E34" s="229">
        <v>182</v>
      </c>
      <c r="F34" s="223">
        <v>129.18</v>
      </c>
      <c r="G34" s="94">
        <v>129.18</v>
      </c>
      <c r="H34" s="71">
        <f t="shared" si="9"/>
        <v>0</v>
      </c>
      <c r="I34" s="209">
        <f t="shared" si="14"/>
        <v>1</v>
      </c>
      <c r="J34" s="72">
        <f t="shared" si="1"/>
        <v>-52.81999999999999</v>
      </c>
      <c r="K34" s="75">
        <f t="shared" si="19"/>
        <v>0.7097802197802198</v>
      </c>
      <c r="L34" s="72"/>
      <c r="M34" s="72"/>
      <c r="N34" s="72"/>
      <c r="O34" s="72">
        <v>403.91</v>
      </c>
      <c r="P34" s="72">
        <f t="shared" si="16"/>
        <v>-221.91000000000003</v>
      </c>
      <c r="Q34" s="75">
        <f t="shared" si="17"/>
        <v>0.45059542967492755</v>
      </c>
      <c r="R34" s="72">
        <v>52.08</v>
      </c>
      <c r="S34" s="72">
        <f t="shared" si="5"/>
        <v>77.10000000000001</v>
      </c>
      <c r="T34" s="75">
        <f t="shared" si="18"/>
        <v>2.480414746543779</v>
      </c>
      <c r="U34" s="73">
        <f t="shared" si="10"/>
        <v>129.18</v>
      </c>
      <c r="V34" s="98">
        <f t="shared" si="11"/>
        <v>129.18</v>
      </c>
      <c r="W34" s="74"/>
      <c r="X34" s="75">
        <f t="shared" si="20"/>
        <v>1</v>
      </c>
      <c r="Y34" s="199">
        <f t="shared" si="8"/>
        <v>2.0298193168688514</v>
      </c>
    </row>
    <row r="35" spans="1:25" s="6" customFormat="1" ht="18">
      <c r="A35" s="8"/>
      <c r="B35" s="41" t="s">
        <v>63</v>
      </c>
      <c r="C35" s="84"/>
      <c r="D35" s="231">
        <f>D36+D37</f>
        <v>187776</v>
      </c>
      <c r="E35" s="257">
        <f>E36+E37</f>
        <v>187776</v>
      </c>
      <c r="F35" s="257">
        <f>F36+F37</f>
        <v>13353.48</v>
      </c>
      <c r="G35" s="120">
        <v>13353.5</v>
      </c>
      <c r="H35" s="102">
        <f t="shared" si="9"/>
        <v>0.020000000000436557</v>
      </c>
      <c r="I35" s="211">
        <f t="shared" si="14"/>
        <v>1.0000014977369196</v>
      </c>
      <c r="J35" s="171">
        <f t="shared" si="1"/>
        <v>-174422.5</v>
      </c>
      <c r="K35" s="180">
        <f t="shared" si="19"/>
        <v>0.07111398687798227</v>
      </c>
      <c r="L35" s="171"/>
      <c r="M35" s="171"/>
      <c r="N35" s="171"/>
      <c r="O35" s="171">
        <v>181171.61</v>
      </c>
      <c r="P35" s="171">
        <f t="shared" si="16"/>
        <v>6604.390000000014</v>
      </c>
      <c r="Q35" s="180">
        <f t="shared" si="17"/>
        <v>1.0364537799272193</v>
      </c>
      <c r="R35" s="122">
        <v>12648.59</v>
      </c>
      <c r="S35" s="122">
        <f t="shared" si="5"/>
        <v>704.9099999999999</v>
      </c>
      <c r="T35" s="149">
        <f t="shared" si="18"/>
        <v>1.0557303225102561</v>
      </c>
      <c r="U35" s="136">
        <f t="shared" si="10"/>
        <v>13353.48</v>
      </c>
      <c r="V35" s="124">
        <f t="shared" si="11"/>
        <v>13353.5</v>
      </c>
      <c r="W35" s="116">
        <f t="shared" si="12"/>
        <v>0.020000000000436557</v>
      </c>
      <c r="X35" s="180">
        <f t="shared" si="20"/>
        <v>1.0000014977369196</v>
      </c>
      <c r="Y35" s="199">
        <f t="shared" si="8"/>
        <v>0.019276542583036793</v>
      </c>
    </row>
    <row r="36" spans="1:25" s="6" customFormat="1" ht="18" customHeight="1" hidden="1">
      <c r="A36" s="8"/>
      <c r="B36" s="137" t="s">
        <v>94</v>
      </c>
      <c r="C36" s="138"/>
      <c r="D36" s="244">
        <f>D38+D40</f>
        <v>60690</v>
      </c>
      <c r="E36" s="139">
        <f aca="true" t="shared" si="21" ref="E36:G37">E38+E40</f>
        <v>60690</v>
      </c>
      <c r="F36" s="139">
        <f t="shared" si="21"/>
        <v>4067.23</v>
      </c>
      <c r="G36" s="139">
        <f t="shared" si="21"/>
        <v>4067.24</v>
      </c>
      <c r="H36" s="158">
        <f t="shared" si="9"/>
        <v>0.009999999999763531</v>
      </c>
      <c r="I36" s="212">
        <f t="shared" si="14"/>
        <v>1.0000024586758063</v>
      </c>
      <c r="J36" s="176">
        <f t="shared" si="1"/>
        <v>-56622.76</v>
      </c>
      <c r="K36" s="191">
        <f t="shared" si="19"/>
        <v>0.067016641950898</v>
      </c>
      <c r="L36" s="176"/>
      <c r="M36" s="176"/>
      <c r="N36" s="176"/>
      <c r="O36" s="176">
        <f>O38+O40</f>
        <v>58608.68</v>
      </c>
      <c r="P36" s="176">
        <f t="shared" si="16"/>
        <v>2081.3199999999997</v>
      </c>
      <c r="Q36" s="191">
        <f t="shared" si="17"/>
        <v>1.0355121459824723</v>
      </c>
      <c r="R36" s="140">
        <f>R38+R40</f>
        <v>3799.8500000000004</v>
      </c>
      <c r="S36" s="140">
        <f t="shared" si="5"/>
        <v>267.3899999999994</v>
      </c>
      <c r="T36" s="162">
        <f t="shared" si="18"/>
        <v>1.0703685671802832</v>
      </c>
      <c r="U36" s="167">
        <f t="shared" si="10"/>
        <v>4067.23</v>
      </c>
      <c r="V36" s="167">
        <f t="shared" si="11"/>
        <v>4067.24</v>
      </c>
      <c r="W36" s="176">
        <f t="shared" si="12"/>
        <v>0.009999999999763531</v>
      </c>
      <c r="X36" s="191">
        <f t="shared" si="20"/>
        <v>1.0000024586758063</v>
      </c>
      <c r="Y36" s="199">
        <f t="shared" si="8"/>
        <v>0.03485642119781085</v>
      </c>
    </row>
    <row r="37" spans="1:25" s="6" customFormat="1" ht="18" customHeight="1" hidden="1">
      <c r="A37" s="8"/>
      <c r="B37" s="137" t="s">
        <v>95</v>
      </c>
      <c r="C37" s="138"/>
      <c r="D37" s="244">
        <f>D39+D41</f>
        <v>127086</v>
      </c>
      <c r="E37" s="139">
        <f t="shared" si="21"/>
        <v>127086</v>
      </c>
      <c r="F37" s="139">
        <f t="shared" si="21"/>
        <v>9286.25</v>
      </c>
      <c r="G37" s="139">
        <f t="shared" si="21"/>
        <v>9286.26</v>
      </c>
      <c r="H37" s="158">
        <f t="shared" si="9"/>
        <v>0.010000000000218279</v>
      </c>
      <c r="I37" s="212">
        <f t="shared" si="14"/>
        <v>1.0000010768609504</v>
      </c>
      <c r="J37" s="176">
        <f t="shared" si="1"/>
        <v>-117799.74</v>
      </c>
      <c r="K37" s="191">
        <f t="shared" si="19"/>
        <v>0.07307067654973798</v>
      </c>
      <c r="L37" s="176"/>
      <c r="M37" s="176"/>
      <c r="N37" s="176"/>
      <c r="O37" s="176">
        <f>O39+O41</f>
        <v>122562.93000000001</v>
      </c>
      <c r="P37" s="176">
        <f t="shared" si="16"/>
        <v>4523.069999999992</v>
      </c>
      <c r="Q37" s="191">
        <f t="shared" si="17"/>
        <v>1.0369040622641772</v>
      </c>
      <c r="R37" s="140">
        <f>R39+R41</f>
        <v>8848.73</v>
      </c>
      <c r="S37" s="140">
        <f t="shared" si="5"/>
        <v>437.53000000000065</v>
      </c>
      <c r="T37" s="162">
        <f t="shared" si="18"/>
        <v>1.0494455136499814</v>
      </c>
      <c r="U37" s="167">
        <f t="shared" si="10"/>
        <v>9286.25</v>
      </c>
      <c r="V37" s="167">
        <f t="shared" si="11"/>
        <v>9286.26</v>
      </c>
      <c r="W37" s="176">
        <f t="shared" si="12"/>
        <v>0.010000000000218279</v>
      </c>
      <c r="X37" s="191">
        <f t="shared" si="20"/>
        <v>1.0000010768609504</v>
      </c>
      <c r="Y37" s="199">
        <f t="shared" si="8"/>
        <v>0.012541451385804203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2">
        <v>57290</v>
      </c>
      <c r="E38" s="242">
        <v>57290</v>
      </c>
      <c r="F38" s="218">
        <v>3984.4</v>
      </c>
      <c r="G38" s="206">
        <v>3984.41</v>
      </c>
      <c r="H38" s="218">
        <f t="shared" si="9"/>
        <v>0.009999999999763531</v>
      </c>
      <c r="I38" s="220">
        <f t="shared" si="14"/>
        <v>1.0000025097881737</v>
      </c>
      <c r="J38" s="221">
        <f t="shared" si="1"/>
        <v>-53305.59</v>
      </c>
      <c r="K38" s="222">
        <f t="shared" si="19"/>
        <v>0.06954808867167045</v>
      </c>
      <c r="L38" s="176"/>
      <c r="M38" s="176"/>
      <c r="N38" s="176"/>
      <c r="O38" s="221">
        <v>55246.24</v>
      </c>
      <c r="P38" s="221">
        <f t="shared" si="16"/>
        <v>2043.760000000002</v>
      </c>
      <c r="Q38" s="222">
        <f t="shared" si="17"/>
        <v>1.0369936487985427</v>
      </c>
      <c r="R38" s="221">
        <v>3720.59</v>
      </c>
      <c r="S38" s="221">
        <f t="shared" si="5"/>
        <v>263.8199999999997</v>
      </c>
      <c r="T38" s="222">
        <f t="shared" si="18"/>
        <v>1.0709081086601855</v>
      </c>
      <c r="U38" s="206">
        <f t="shared" si="10"/>
        <v>3984.4</v>
      </c>
      <c r="V38" s="206">
        <f t="shared" si="11"/>
        <v>3984.41</v>
      </c>
      <c r="W38" s="221">
        <f t="shared" si="12"/>
        <v>0.009999999999763531</v>
      </c>
      <c r="X38" s="222">
        <f t="shared" si="20"/>
        <v>1.0000025097881737</v>
      </c>
      <c r="Y38" s="199">
        <f t="shared" si="8"/>
        <v>0.033914459861642765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2">
        <v>105986</v>
      </c>
      <c r="E39" s="242">
        <v>105986</v>
      </c>
      <c r="F39" s="218">
        <v>7793.45</v>
      </c>
      <c r="G39" s="206">
        <v>7793.45</v>
      </c>
      <c r="H39" s="218">
        <f t="shared" si="9"/>
        <v>0</v>
      </c>
      <c r="I39" s="220">
        <f t="shared" si="14"/>
        <v>1</v>
      </c>
      <c r="J39" s="221">
        <f t="shared" si="1"/>
        <v>-98192.55</v>
      </c>
      <c r="K39" s="222">
        <f t="shared" si="19"/>
        <v>0.07353282509010624</v>
      </c>
      <c r="L39" s="176"/>
      <c r="M39" s="176"/>
      <c r="N39" s="176"/>
      <c r="O39" s="221">
        <v>102196.35</v>
      </c>
      <c r="P39" s="221">
        <f t="shared" si="16"/>
        <v>3789.649999999994</v>
      </c>
      <c r="Q39" s="222">
        <f t="shared" si="17"/>
        <v>1.0370820484293226</v>
      </c>
      <c r="R39" s="221">
        <v>7428.28</v>
      </c>
      <c r="S39" s="221">
        <f t="shared" si="5"/>
        <v>365.1700000000001</v>
      </c>
      <c r="T39" s="222">
        <f t="shared" si="18"/>
        <v>1.0491594285621975</v>
      </c>
      <c r="U39" s="206">
        <f t="shared" si="10"/>
        <v>7793.45</v>
      </c>
      <c r="V39" s="206">
        <f t="shared" si="11"/>
        <v>7793.45</v>
      </c>
      <c r="W39" s="221">
        <f t="shared" si="12"/>
        <v>0</v>
      </c>
      <c r="X39" s="222">
        <f t="shared" si="20"/>
        <v>1</v>
      </c>
      <c r="Y39" s="199">
        <f t="shared" si="8"/>
        <v>0.012077380132874849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2">
        <v>3400</v>
      </c>
      <c r="E40" s="242">
        <v>3400</v>
      </c>
      <c r="F40" s="218">
        <v>82.83</v>
      </c>
      <c r="G40" s="206">
        <v>82.83</v>
      </c>
      <c r="H40" s="218">
        <f t="shared" si="9"/>
        <v>0</v>
      </c>
      <c r="I40" s="220">
        <f t="shared" si="14"/>
        <v>1</v>
      </c>
      <c r="J40" s="221">
        <f t="shared" si="1"/>
        <v>-3317.17</v>
      </c>
      <c r="K40" s="222">
        <f t="shared" si="19"/>
        <v>0.024361764705882354</v>
      </c>
      <c r="L40" s="176"/>
      <c r="M40" s="176"/>
      <c r="N40" s="176"/>
      <c r="O40" s="221">
        <v>3362.44</v>
      </c>
      <c r="P40" s="221">
        <f t="shared" si="16"/>
        <v>37.559999999999945</v>
      </c>
      <c r="Q40" s="222">
        <f t="shared" si="17"/>
        <v>1.0111704595472335</v>
      </c>
      <c r="R40" s="221">
        <v>79.26</v>
      </c>
      <c r="S40" s="221">
        <f t="shared" si="5"/>
        <v>3.569999999999993</v>
      </c>
      <c r="T40" s="222">
        <f t="shared" si="18"/>
        <v>1.0450416351249052</v>
      </c>
      <c r="U40" s="206">
        <f t="shared" si="10"/>
        <v>82.83</v>
      </c>
      <c r="V40" s="206">
        <f t="shared" si="11"/>
        <v>82.83</v>
      </c>
      <c r="W40" s="221">
        <f t="shared" si="12"/>
        <v>0</v>
      </c>
      <c r="X40" s="222">
        <f t="shared" si="20"/>
        <v>1</v>
      </c>
      <c r="Y40" s="199">
        <f t="shared" si="8"/>
        <v>0.03387117557767172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2">
        <v>21100</v>
      </c>
      <c r="E41" s="242">
        <v>21100</v>
      </c>
      <c r="F41" s="218">
        <v>1492.8</v>
      </c>
      <c r="G41" s="206">
        <v>1492.81</v>
      </c>
      <c r="H41" s="218">
        <f t="shared" si="9"/>
        <v>0.009999999999990905</v>
      </c>
      <c r="I41" s="220">
        <f t="shared" si="14"/>
        <v>1.0000066988210075</v>
      </c>
      <c r="J41" s="221">
        <f t="shared" si="1"/>
        <v>-19607.19</v>
      </c>
      <c r="K41" s="222">
        <f t="shared" si="19"/>
        <v>0.07074928909952606</v>
      </c>
      <c r="L41" s="176"/>
      <c r="M41" s="176"/>
      <c r="N41" s="176"/>
      <c r="O41" s="221">
        <v>20366.58</v>
      </c>
      <c r="P41" s="221">
        <f t="shared" si="16"/>
        <v>733.4199999999983</v>
      </c>
      <c r="Q41" s="222">
        <f t="shared" si="17"/>
        <v>1.0360109552021006</v>
      </c>
      <c r="R41" s="221">
        <v>1420.45</v>
      </c>
      <c r="S41" s="221">
        <f t="shared" si="5"/>
        <v>72.3599999999999</v>
      </c>
      <c r="T41" s="222">
        <f t="shared" si="18"/>
        <v>1.0509416030131296</v>
      </c>
      <c r="U41" s="206">
        <f t="shared" si="10"/>
        <v>1492.8</v>
      </c>
      <c r="V41" s="206">
        <f t="shared" si="11"/>
        <v>1492.81</v>
      </c>
      <c r="W41" s="221">
        <f t="shared" si="12"/>
        <v>0.009999999999990905</v>
      </c>
      <c r="X41" s="222">
        <f t="shared" si="20"/>
        <v>1.0000066988210075</v>
      </c>
      <c r="Y41" s="199">
        <f t="shared" si="8"/>
        <v>0.01493064781102893</v>
      </c>
    </row>
    <row r="42" spans="1:25" s="6" customFormat="1" ht="18" hidden="1">
      <c r="A42" s="8"/>
      <c r="B42" s="159" t="s">
        <v>97</v>
      </c>
      <c r="C42" s="157">
        <v>18020000</v>
      </c>
      <c r="D42" s="157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16"/>
        <v>-0.2</v>
      </c>
      <c r="Q42" s="148">
        <f t="shared" si="17"/>
        <v>0</v>
      </c>
      <c r="R42" s="117">
        <v>0.2</v>
      </c>
      <c r="S42" s="108">
        <f t="shared" si="5"/>
        <v>-0.2</v>
      </c>
      <c r="T42" s="148"/>
      <c r="U42" s="107">
        <f t="shared" si="10"/>
        <v>0</v>
      </c>
      <c r="V42" s="110">
        <f t="shared" si="11"/>
        <v>0</v>
      </c>
      <c r="W42" s="111">
        <f t="shared" si="12"/>
        <v>0</v>
      </c>
      <c r="X42" s="148"/>
      <c r="Y42" s="199">
        <f t="shared" si="8"/>
        <v>0</v>
      </c>
    </row>
    <row r="43" spans="1:25" s="6" customFormat="1" ht="18">
      <c r="A43" s="8"/>
      <c r="B43" s="35" t="s">
        <v>69</v>
      </c>
      <c r="C43" s="79">
        <v>18030000</v>
      </c>
      <c r="D43" s="232">
        <f>D44+D45</f>
        <v>174.4</v>
      </c>
      <c r="E43" s="102">
        <f>E44+E45</f>
        <v>174.4</v>
      </c>
      <c r="F43" s="102">
        <f>F44+F45</f>
        <v>10.43</v>
      </c>
      <c r="G43" s="106">
        <v>10.43</v>
      </c>
      <c r="H43" s="102">
        <f t="shared" si="9"/>
        <v>0</v>
      </c>
      <c r="I43" s="208">
        <f>G43/F43</f>
        <v>1</v>
      </c>
      <c r="J43" s="108">
        <f t="shared" si="1"/>
        <v>-163.97</v>
      </c>
      <c r="K43" s="148">
        <f>G43/E43</f>
        <v>0.05980504587155963</v>
      </c>
      <c r="L43" s="108"/>
      <c r="M43" s="108"/>
      <c r="N43" s="108"/>
      <c r="O43" s="108">
        <v>156.82</v>
      </c>
      <c r="P43" s="108">
        <f t="shared" si="16"/>
        <v>17.580000000000013</v>
      </c>
      <c r="Q43" s="148">
        <f t="shared" si="17"/>
        <v>1.112103048080602</v>
      </c>
      <c r="R43" s="117">
        <v>13.06</v>
      </c>
      <c r="S43" s="108">
        <f t="shared" si="5"/>
        <v>-2.630000000000001</v>
      </c>
      <c r="T43" s="148">
        <f aca="true" t="shared" si="22" ref="T43:T51">G43/R43</f>
        <v>0.7986217457886676</v>
      </c>
      <c r="U43" s="107">
        <f t="shared" si="10"/>
        <v>10.43</v>
      </c>
      <c r="V43" s="110">
        <f t="shared" si="11"/>
        <v>10.43</v>
      </c>
      <c r="W43" s="111">
        <f t="shared" si="12"/>
        <v>0</v>
      </c>
      <c r="X43" s="148">
        <f>V43/U43</f>
        <v>1</v>
      </c>
      <c r="Y43" s="199">
        <f t="shared" si="8"/>
        <v>-0.3134813022919344</v>
      </c>
    </row>
    <row r="44" spans="1:25" s="6" customFormat="1" ht="15" hidden="1">
      <c r="A44" s="8"/>
      <c r="B44" s="41" t="s">
        <v>120</v>
      </c>
      <c r="C44" s="70">
        <v>18031000</v>
      </c>
      <c r="D44" s="229">
        <v>100.9</v>
      </c>
      <c r="E44" s="71">
        <v>100.9</v>
      </c>
      <c r="F44" s="71">
        <v>9.9</v>
      </c>
      <c r="G44" s="94">
        <v>9.9</v>
      </c>
      <c r="H44" s="71">
        <f t="shared" si="9"/>
        <v>0</v>
      </c>
      <c r="I44" s="209">
        <f>G44/F44</f>
        <v>1</v>
      </c>
      <c r="J44" s="72">
        <f t="shared" si="1"/>
        <v>-91</v>
      </c>
      <c r="K44" s="75">
        <f>G44/E44</f>
        <v>0.0981169474727453</v>
      </c>
      <c r="L44" s="72"/>
      <c r="M44" s="72"/>
      <c r="N44" s="72"/>
      <c r="O44" s="72">
        <v>95.14</v>
      </c>
      <c r="P44" s="72">
        <f t="shared" si="16"/>
        <v>5.760000000000005</v>
      </c>
      <c r="Q44" s="75">
        <f t="shared" si="17"/>
        <v>1.0605423586293883</v>
      </c>
      <c r="R44" s="72">
        <v>5.51</v>
      </c>
      <c r="S44" s="72">
        <f t="shared" si="5"/>
        <v>4.390000000000001</v>
      </c>
      <c r="T44" s="75">
        <f t="shared" si="22"/>
        <v>1.7967332123411979</v>
      </c>
      <c r="U44" s="73">
        <f t="shared" si="10"/>
        <v>9.9</v>
      </c>
      <c r="V44" s="98">
        <f t="shared" si="11"/>
        <v>9.9</v>
      </c>
      <c r="W44" s="74">
        <f t="shared" si="12"/>
        <v>0</v>
      </c>
      <c r="X44" s="75">
        <f>V44/U44</f>
        <v>1</v>
      </c>
      <c r="Y44" s="199">
        <f t="shared" si="8"/>
        <v>0.7361908537118096</v>
      </c>
    </row>
    <row r="45" spans="1:25" s="6" customFormat="1" ht="15" hidden="1">
      <c r="A45" s="8"/>
      <c r="B45" s="41" t="s">
        <v>121</v>
      </c>
      <c r="C45" s="70">
        <v>18031100</v>
      </c>
      <c r="D45" s="229">
        <v>73.5</v>
      </c>
      <c r="E45" s="71">
        <v>73.5</v>
      </c>
      <c r="F45" s="71">
        <v>0.53</v>
      </c>
      <c r="G45" s="94">
        <v>0.53</v>
      </c>
      <c r="H45" s="71">
        <f t="shared" si="9"/>
        <v>0</v>
      </c>
      <c r="I45" s="209">
        <f>G45/F45</f>
        <v>1</v>
      </c>
      <c r="J45" s="72">
        <f t="shared" si="1"/>
        <v>-72.97</v>
      </c>
      <c r="K45" s="75">
        <f>G45/E45</f>
        <v>0.007210884353741497</v>
      </c>
      <c r="L45" s="72"/>
      <c r="M45" s="72"/>
      <c r="N45" s="72"/>
      <c r="O45" s="72">
        <v>61.68</v>
      </c>
      <c r="P45" s="72">
        <f t="shared" si="16"/>
        <v>11.82</v>
      </c>
      <c r="Q45" s="75">
        <f t="shared" si="17"/>
        <v>1.1916342412451362</v>
      </c>
      <c r="R45" s="72">
        <v>7.56</v>
      </c>
      <c r="S45" s="72">
        <f t="shared" si="5"/>
        <v>-7.029999999999999</v>
      </c>
      <c r="T45" s="75">
        <f t="shared" si="22"/>
        <v>0.07010582010582012</v>
      </c>
      <c r="U45" s="73">
        <f t="shared" si="10"/>
        <v>0.53</v>
      </c>
      <c r="V45" s="98">
        <f t="shared" si="11"/>
        <v>0.53</v>
      </c>
      <c r="W45" s="74">
        <f t="shared" si="12"/>
        <v>0</v>
      </c>
      <c r="X45" s="75">
        <f>V45/U45</f>
        <v>1</v>
      </c>
      <c r="Y45" s="199">
        <f t="shared" si="8"/>
        <v>-1.121528421139316</v>
      </c>
    </row>
    <row r="46" spans="1:25" s="6" customFormat="1" ht="30.75">
      <c r="A46" s="8"/>
      <c r="B46" s="159" t="s">
        <v>70</v>
      </c>
      <c r="C46" s="79">
        <v>18040000</v>
      </c>
      <c r="D46" s="79"/>
      <c r="E46" s="102"/>
      <c r="F46" s="102"/>
      <c r="G46" s="106">
        <v>-0.91</v>
      </c>
      <c r="H46" s="102">
        <f t="shared" si="9"/>
        <v>-0.91</v>
      </c>
      <c r="I46" s="208"/>
      <c r="J46" s="108">
        <f t="shared" si="1"/>
        <v>-0.91</v>
      </c>
      <c r="K46" s="148"/>
      <c r="L46" s="108"/>
      <c r="M46" s="108"/>
      <c r="N46" s="108"/>
      <c r="O46" s="108">
        <v>-50.78</v>
      </c>
      <c r="P46" s="108">
        <f t="shared" si="16"/>
        <v>50.78</v>
      </c>
      <c r="Q46" s="148">
        <f t="shared" si="17"/>
        <v>0</v>
      </c>
      <c r="R46" s="108">
        <v>-2.93</v>
      </c>
      <c r="S46" s="108">
        <f t="shared" si="5"/>
        <v>2.02</v>
      </c>
      <c r="T46" s="148">
        <f t="shared" si="22"/>
        <v>0.310580204778157</v>
      </c>
      <c r="U46" s="107">
        <f t="shared" si="10"/>
        <v>0</v>
      </c>
      <c r="V46" s="110">
        <f t="shared" si="11"/>
        <v>-0.91</v>
      </c>
      <c r="W46" s="111">
        <f t="shared" si="12"/>
        <v>-0.91</v>
      </c>
      <c r="X46" s="148"/>
      <c r="Y46" s="199">
        <f t="shared" si="8"/>
        <v>0.310580204778157</v>
      </c>
    </row>
    <row r="47" spans="1:25" s="6" customFormat="1" ht="18">
      <c r="A47" s="8"/>
      <c r="B47" s="35" t="s">
        <v>71</v>
      </c>
      <c r="C47" s="79">
        <v>18050000</v>
      </c>
      <c r="D47" s="232">
        <f>D48+D49+D50+D51</f>
        <v>254550.8</v>
      </c>
      <c r="E47" s="112">
        <v>254550.8</v>
      </c>
      <c r="F47" s="112">
        <f>F48+F49+F50+F51</f>
        <v>25046.16</v>
      </c>
      <c r="G47" s="113">
        <v>25046.2</v>
      </c>
      <c r="H47" s="102">
        <f t="shared" si="9"/>
        <v>0.040000000000873115</v>
      </c>
      <c r="I47" s="208">
        <f>G47/F47*100</f>
        <v>100.00015970512047</v>
      </c>
      <c r="J47" s="108">
        <f t="shared" si="1"/>
        <v>-229504.59999999998</v>
      </c>
      <c r="K47" s="148">
        <f>G47/E47</f>
        <v>0.09839371944617735</v>
      </c>
      <c r="L47" s="108"/>
      <c r="M47" s="108"/>
      <c r="N47" s="108"/>
      <c r="O47" s="108">
        <v>223368.23</v>
      </c>
      <c r="P47" s="108">
        <f t="shared" si="16"/>
        <v>31182.569999999978</v>
      </c>
      <c r="Q47" s="148">
        <f t="shared" si="17"/>
        <v>1.139601634484904</v>
      </c>
      <c r="R47" s="123">
        <v>20649.68</v>
      </c>
      <c r="S47" s="123">
        <f t="shared" si="5"/>
        <v>4396.52</v>
      </c>
      <c r="T47" s="160">
        <f t="shared" si="22"/>
        <v>1.2129098368594573</v>
      </c>
      <c r="U47" s="107">
        <f t="shared" si="10"/>
        <v>25046.16</v>
      </c>
      <c r="V47" s="110">
        <f t="shared" si="11"/>
        <v>25046.2</v>
      </c>
      <c r="W47" s="111">
        <f t="shared" si="12"/>
        <v>0.040000000000873115</v>
      </c>
      <c r="X47" s="148">
        <f>V47/U47</f>
        <v>1.0000015970512046</v>
      </c>
      <c r="Y47" s="199">
        <f t="shared" si="8"/>
        <v>0.07330820237455327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29"/>
      <c r="E48" s="71"/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16"/>
        <v>-0.01</v>
      </c>
      <c r="Q48" s="75">
        <f t="shared" si="17"/>
        <v>0</v>
      </c>
      <c r="R48" s="85">
        <f>O48</f>
        <v>0.01</v>
      </c>
      <c r="S48" s="85">
        <f t="shared" si="5"/>
        <v>0</v>
      </c>
      <c r="T48" s="153">
        <f t="shared" si="22"/>
        <v>1</v>
      </c>
      <c r="U48" s="73">
        <f t="shared" si="10"/>
        <v>0</v>
      </c>
      <c r="V48" s="98">
        <f t="shared" si="11"/>
        <v>0.01</v>
      </c>
      <c r="W48" s="74">
        <f t="shared" si="12"/>
        <v>0.01</v>
      </c>
      <c r="X48" s="75"/>
      <c r="Y48" s="199">
        <f t="shared" si="8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29">
        <v>55715</v>
      </c>
      <c r="E49" s="71">
        <v>55715</v>
      </c>
      <c r="F49" s="71">
        <v>3883.87</v>
      </c>
      <c r="G49" s="94">
        <v>3883.87</v>
      </c>
      <c r="H49" s="71">
        <f>G49-F49</f>
        <v>0</v>
      </c>
      <c r="I49" s="209">
        <f>G49/F49</f>
        <v>1</v>
      </c>
      <c r="J49" s="72">
        <f t="shared" si="1"/>
        <v>-51831.13</v>
      </c>
      <c r="K49" s="75">
        <f>G49/E49</f>
        <v>0.06970959346675043</v>
      </c>
      <c r="L49" s="72"/>
      <c r="M49" s="72"/>
      <c r="N49" s="72"/>
      <c r="O49" s="72">
        <v>45030.34</v>
      </c>
      <c r="P49" s="72">
        <f t="shared" si="16"/>
        <v>10684.660000000003</v>
      </c>
      <c r="Q49" s="75">
        <f t="shared" si="17"/>
        <v>1.2372769115223203</v>
      </c>
      <c r="R49" s="85">
        <v>3585.03</v>
      </c>
      <c r="S49" s="85">
        <f t="shared" si="5"/>
        <v>298.8399999999997</v>
      </c>
      <c r="T49" s="153">
        <f t="shared" si="22"/>
        <v>1.0833577403815309</v>
      </c>
      <c r="U49" s="73">
        <f t="shared" si="10"/>
        <v>3883.87</v>
      </c>
      <c r="V49" s="98">
        <f t="shared" si="11"/>
        <v>3883.87</v>
      </c>
      <c r="W49" s="74">
        <f t="shared" si="12"/>
        <v>0</v>
      </c>
      <c r="X49" s="75">
        <f>V49/U49</f>
        <v>1</v>
      </c>
      <c r="Y49" s="199">
        <f t="shared" si="8"/>
        <v>-0.15391917114078946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29">
        <v>198755</v>
      </c>
      <c r="E50" s="71">
        <v>198755</v>
      </c>
      <c r="F50" s="71">
        <v>21140.49</v>
      </c>
      <c r="G50" s="94">
        <v>21140.49</v>
      </c>
      <c r="H50" s="71">
        <f>G50-F50</f>
        <v>0</v>
      </c>
      <c r="I50" s="209">
        <f>G50/F50</f>
        <v>1</v>
      </c>
      <c r="J50" s="72">
        <f t="shared" si="1"/>
        <v>-177614.51</v>
      </c>
      <c r="K50" s="75">
        <f>G50/E50</f>
        <v>0.10636456944479385</v>
      </c>
      <c r="L50" s="72"/>
      <c r="M50" s="72"/>
      <c r="N50" s="72"/>
      <c r="O50" s="72">
        <v>178270.24</v>
      </c>
      <c r="P50" s="72">
        <f t="shared" si="16"/>
        <v>20484.76000000001</v>
      </c>
      <c r="Q50" s="75">
        <f t="shared" si="17"/>
        <v>1.11490846705541</v>
      </c>
      <c r="R50" s="85">
        <v>17048.54</v>
      </c>
      <c r="S50" s="85">
        <f t="shared" si="5"/>
        <v>4091.9500000000007</v>
      </c>
      <c r="T50" s="153">
        <f t="shared" si="22"/>
        <v>1.2400176202771616</v>
      </c>
      <c r="U50" s="73">
        <f t="shared" si="10"/>
        <v>21140.49</v>
      </c>
      <c r="V50" s="98">
        <f t="shared" si="11"/>
        <v>21140.49</v>
      </c>
      <c r="W50" s="74">
        <f t="shared" si="12"/>
        <v>0</v>
      </c>
      <c r="X50" s="75">
        <f>V50/U50</f>
        <v>1</v>
      </c>
      <c r="Y50" s="199">
        <f t="shared" si="8"/>
        <v>0.12510915322175165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29">
        <v>80.8</v>
      </c>
      <c r="E51" s="71">
        <v>80.8</v>
      </c>
      <c r="F51" s="71">
        <v>21.8</v>
      </c>
      <c r="G51" s="94">
        <v>21.84</v>
      </c>
      <c r="H51" s="71">
        <f>G51-F51</f>
        <v>0.03999999999999915</v>
      </c>
      <c r="I51" s="209">
        <f>G51/F51</f>
        <v>1.001834862385321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16"/>
        <v>13.170000000000002</v>
      </c>
      <c r="Q51" s="75">
        <f t="shared" si="17"/>
        <v>1.1947360638769777</v>
      </c>
      <c r="R51" s="85">
        <v>16.11</v>
      </c>
      <c r="S51" s="85">
        <f t="shared" si="5"/>
        <v>5.73</v>
      </c>
      <c r="T51" s="153">
        <f t="shared" si="22"/>
        <v>1.3556797020484173</v>
      </c>
      <c r="U51" s="73">
        <f t="shared" si="10"/>
        <v>21.8</v>
      </c>
      <c r="V51" s="98">
        <f t="shared" si="11"/>
        <v>21.84</v>
      </c>
      <c r="W51" s="74">
        <f t="shared" si="12"/>
        <v>0.03999999999999915</v>
      </c>
      <c r="X51" s="75">
        <f>V51/U51</f>
        <v>1.001834862385321</v>
      </c>
      <c r="Y51" s="199">
        <f t="shared" si="8"/>
        <v>0.16094363817143953</v>
      </c>
    </row>
    <row r="52" spans="1:25" s="6" customFormat="1" ht="15" customHeight="1" hidden="1">
      <c r="A52" s="8"/>
      <c r="B52" s="164"/>
      <c r="C52" s="34"/>
      <c r="D52" s="34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 t="shared" si="10"/>
        <v>0</v>
      </c>
      <c r="V52" s="99">
        <f t="shared" si="11"/>
        <v>0</v>
      </c>
      <c r="W52" s="111">
        <f t="shared" si="12"/>
        <v>0</v>
      </c>
      <c r="X52" s="67"/>
      <c r="Y52" s="199">
        <f t="shared" si="8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3247.7599999999998</v>
      </c>
      <c r="G53" s="103">
        <f>G54+G55+G56+G57+G58+G60+G62+G63+G64+G65+G66+G71+G72+G76+G59+G61</f>
        <v>3247.7599999999993</v>
      </c>
      <c r="H53" s="103">
        <f>H54+H55+H56+H57+H58+H60+H62+H63+H64+H65+H66+H71+H72+H76+H59+H61</f>
        <v>-9.325873406851315E-14</v>
      </c>
      <c r="I53" s="143">
        <f aca="true" t="shared" si="23" ref="I53:I72">G53/F53</f>
        <v>0.9999999999999999</v>
      </c>
      <c r="J53" s="104">
        <f>G53-E53</f>
        <v>-44001.14</v>
      </c>
      <c r="K53" s="156">
        <f aca="true" t="shared" si="24" ref="K53:K72">G53/E53</f>
        <v>0.06873726160820673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-979.9700000000003</v>
      </c>
      <c r="T53" s="143">
        <f>G53/R53</f>
        <v>0.7682042136087214</v>
      </c>
      <c r="U53" s="103">
        <f>U54+U55+U56+U57+U58+U60+U62+U63+U64+U65+U66+U71+U72+U76+U59+U61</f>
        <v>3247.7599999999998</v>
      </c>
      <c r="V53" s="103">
        <f>V54+V55+V56+V57+V58+V60+V62+V63+V64+V65+V66+V71+V72+V76+V59+V61</f>
        <v>3247.7599999999993</v>
      </c>
      <c r="W53" s="103">
        <f>W54+W55+W56+W57+W58+W60+W62+W63+W64+W65+W66+W71+W72+W76</f>
        <v>6.549999999999907</v>
      </c>
      <c r="X53" s="143">
        <f>V53/U53</f>
        <v>0.9999999999999999</v>
      </c>
      <c r="Y53" s="199">
        <f t="shared" si="8"/>
        <v>0.08719768991879939</v>
      </c>
    </row>
    <row r="54" spans="1:25" s="6" customFormat="1" ht="46.5">
      <c r="A54" s="8"/>
      <c r="B54" s="159" t="s">
        <v>85</v>
      </c>
      <c r="C54" s="34">
        <v>21010301</v>
      </c>
      <c r="D54" s="232">
        <v>2650</v>
      </c>
      <c r="E54" s="102">
        <v>2650</v>
      </c>
      <c r="F54" s="102">
        <v>1.11</v>
      </c>
      <c r="G54" s="106">
        <v>1.11</v>
      </c>
      <c r="H54" s="102">
        <f aca="true" t="shared" si="25" ref="H54:H78">G54-F54</f>
        <v>0</v>
      </c>
      <c r="I54" s="213">
        <f t="shared" si="23"/>
        <v>1</v>
      </c>
      <c r="J54" s="115">
        <f>G54-E54</f>
        <v>-2648.89</v>
      </c>
      <c r="K54" s="155">
        <f t="shared" si="24"/>
        <v>0.0004188679245283019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8.18</v>
      </c>
      <c r="S54" s="115">
        <f t="shared" si="5"/>
        <v>-7.069999999999999</v>
      </c>
      <c r="T54" s="155">
        <f>G54/R54</f>
        <v>0.13569682151589244</v>
      </c>
      <c r="U54" s="107">
        <f>F54</f>
        <v>1.11</v>
      </c>
      <c r="V54" s="110">
        <f>G54</f>
        <v>1.11</v>
      </c>
      <c r="W54" s="111">
        <f aca="true" t="shared" si="26" ref="W54:W78">V54-U54</f>
        <v>0</v>
      </c>
      <c r="X54" s="155">
        <f>V54/U54</f>
        <v>1</v>
      </c>
      <c r="Y54" s="199">
        <f t="shared" si="8"/>
        <v>-0.8703928685325517</v>
      </c>
    </row>
    <row r="55" spans="1:32" s="6" customFormat="1" ht="30.75">
      <c r="A55" s="8"/>
      <c r="B55" s="87" t="s">
        <v>64</v>
      </c>
      <c r="C55" s="33">
        <v>21050000</v>
      </c>
      <c r="D55" s="246">
        <v>5000</v>
      </c>
      <c r="E55" s="102">
        <v>5000</v>
      </c>
      <c r="F55" s="102">
        <v>0</v>
      </c>
      <c r="G55" s="106">
        <v>0</v>
      </c>
      <c r="H55" s="102">
        <f t="shared" si="25"/>
        <v>0</v>
      </c>
      <c r="I55" s="213" t="e">
        <f t="shared" si="23"/>
        <v>#DIV/0!</v>
      </c>
      <c r="J55" s="115">
        <f aca="true" t="shared" si="27" ref="J55:J78">G55-E55</f>
        <v>-5000</v>
      </c>
      <c r="K55" s="155">
        <f t="shared" si="24"/>
        <v>0</v>
      </c>
      <c r="L55" s="115"/>
      <c r="M55" s="115"/>
      <c r="N55" s="115"/>
      <c r="O55" s="115">
        <v>27997.6</v>
      </c>
      <c r="P55" s="115">
        <f aca="true" t="shared" si="28" ref="P55:P72">E55-O55</f>
        <v>-22997.6</v>
      </c>
      <c r="Q55" s="155">
        <f aca="true" t="shared" si="29" ref="Q55:Q72">E55/O55</f>
        <v>0.17858673600594338</v>
      </c>
      <c r="R55" s="115">
        <v>0</v>
      </c>
      <c r="S55" s="115">
        <f t="shared" si="5"/>
        <v>0</v>
      </c>
      <c r="T55" s="155" t="e">
        <f aca="true" t="shared" si="30" ref="T55:T78">G55/R55</f>
        <v>#DIV/0!</v>
      </c>
      <c r="U55" s="107">
        <f aca="true" t="shared" si="31" ref="U55:U66">F55</f>
        <v>0</v>
      </c>
      <c r="V55" s="110">
        <f aca="true" t="shared" si="32" ref="V55:V66">G55</f>
        <v>0</v>
      </c>
      <c r="W55" s="111">
        <f t="shared" si="26"/>
        <v>0</v>
      </c>
      <c r="X55" s="155" t="e">
        <f aca="true" t="shared" si="33" ref="X55:X77">V55/U55</f>
        <v>#DIV/0!</v>
      </c>
      <c r="Y55" s="199" t="e">
        <f t="shared" si="8"/>
        <v>#DIV/0!</v>
      </c>
      <c r="AF55" s="101"/>
    </row>
    <row r="56" spans="1:25" s="6" customFormat="1" ht="18">
      <c r="A56" s="8"/>
      <c r="B56" s="87" t="s">
        <v>51</v>
      </c>
      <c r="C56" s="33">
        <v>21080500</v>
      </c>
      <c r="D56" s="246">
        <v>158</v>
      </c>
      <c r="E56" s="102">
        <v>158</v>
      </c>
      <c r="F56" s="102">
        <v>0</v>
      </c>
      <c r="G56" s="106">
        <v>0</v>
      </c>
      <c r="H56" s="102">
        <f t="shared" si="25"/>
        <v>0</v>
      </c>
      <c r="I56" s="213" t="e">
        <f t="shared" si="23"/>
        <v>#DIV/0!</v>
      </c>
      <c r="J56" s="115">
        <f t="shared" si="27"/>
        <v>-158</v>
      </c>
      <c r="K56" s="155">
        <f t="shared" si="24"/>
        <v>0</v>
      </c>
      <c r="L56" s="115"/>
      <c r="M56" s="115"/>
      <c r="N56" s="115"/>
      <c r="O56" s="115">
        <v>153.3</v>
      </c>
      <c r="P56" s="115">
        <f t="shared" si="28"/>
        <v>4.699999999999989</v>
      </c>
      <c r="Q56" s="155">
        <f t="shared" si="29"/>
        <v>1.030658838878017</v>
      </c>
      <c r="R56" s="115">
        <v>14.87</v>
      </c>
      <c r="S56" s="115">
        <f t="shared" si="5"/>
        <v>-14.87</v>
      </c>
      <c r="T56" s="155">
        <f t="shared" si="30"/>
        <v>0</v>
      </c>
      <c r="U56" s="107">
        <f t="shared" si="31"/>
        <v>0</v>
      </c>
      <c r="V56" s="110">
        <f t="shared" si="32"/>
        <v>0</v>
      </c>
      <c r="W56" s="111">
        <f t="shared" si="26"/>
        <v>0</v>
      </c>
      <c r="X56" s="155" t="e">
        <f t="shared" si="33"/>
        <v>#DIV/0!</v>
      </c>
      <c r="Y56" s="199">
        <f t="shared" si="8"/>
        <v>-1.030658838878017</v>
      </c>
    </row>
    <row r="57" spans="1:25" s="6" customFormat="1" ht="31.5">
      <c r="A57" s="8"/>
      <c r="B57" s="168" t="s">
        <v>34</v>
      </c>
      <c r="C57" s="56">
        <v>21080900</v>
      </c>
      <c r="D57" s="247">
        <v>13</v>
      </c>
      <c r="E57" s="102">
        <v>13</v>
      </c>
      <c r="F57" s="102">
        <v>2</v>
      </c>
      <c r="G57" s="106">
        <v>2.02</v>
      </c>
      <c r="H57" s="102">
        <f t="shared" si="25"/>
        <v>0.020000000000000018</v>
      </c>
      <c r="I57" s="213">
        <f t="shared" si="23"/>
        <v>1.01</v>
      </c>
      <c r="J57" s="115">
        <f t="shared" si="27"/>
        <v>-10.98</v>
      </c>
      <c r="K57" s="155">
        <f t="shared" si="24"/>
        <v>0.1553846153846154</v>
      </c>
      <c r="L57" s="115"/>
      <c r="M57" s="115"/>
      <c r="N57" s="115"/>
      <c r="O57" s="115">
        <v>12.95</v>
      </c>
      <c r="P57" s="115">
        <f t="shared" si="28"/>
        <v>0.05000000000000071</v>
      </c>
      <c r="Q57" s="225">
        <f t="shared" si="29"/>
        <v>1.0038610038610039</v>
      </c>
      <c r="R57" s="115">
        <v>0</v>
      </c>
      <c r="S57" s="115">
        <f t="shared" si="5"/>
        <v>2.02</v>
      </c>
      <c r="T57" s="155"/>
      <c r="U57" s="107">
        <f t="shared" si="31"/>
        <v>2</v>
      </c>
      <c r="V57" s="110">
        <f t="shared" si="32"/>
        <v>2.02</v>
      </c>
      <c r="W57" s="111">
        <f t="shared" si="26"/>
        <v>0.020000000000000018</v>
      </c>
      <c r="X57" s="155">
        <f t="shared" si="33"/>
        <v>1.01</v>
      </c>
      <c r="Y57" s="199">
        <f t="shared" si="8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8">
        <v>744</v>
      </c>
      <c r="E58" s="102">
        <v>744</v>
      </c>
      <c r="F58" s="102">
        <v>28.43</v>
      </c>
      <c r="G58" s="106">
        <v>28.43</v>
      </c>
      <c r="H58" s="102">
        <f t="shared" si="25"/>
        <v>0</v>
      </c>
      <c r="I58" s="213">
        <f t="shared" si="23"/>
        <v>1</v>
      </c>
      <c r="J58" s="115">
        <f t="shared" si="27"/>
        <v>-715.57</v>
      </c>
      <c r="K58" s="155">
        <f t="shared" si="24"/>
        <v>0.03821236559139785</v>
      </c>
      <c r="L58" s="115"/>
      <c r="M58" s="115"/>
      <c r="N58" s="115"/>
      <c r="O58" s="115">
        <v>705.31</v>
      </c>
      <c r="P58" s="115">
        <f t="shared" si="28"/>
        <v>38.690000000000055</v>
      </c>
      <c r="Q58" s="155">
        <f t="shared" si="29"/>
        <v>1.0548553118486907</v>
      </c>
      <c r="R58" s="115">
        <v>11.17</v>
      </c>
      <c r="S58" s="115">
        <f t="shared" si="5"/>
        <v>17.259999999999998</v>
      </c>
      <c r="T58" s="155">
        <f t="shared" si="30"/>
        <v>2.5452103849597134</v>
      </c>
      <c r="U58" s="107">
        <f t="shared" si="31"/>
        <v>28.43</v>
      </c>
      <c r="V58" s="110">
        <f t="shared" si="32"/>
        <v>28.43</v>
      </c>
      <c r="W58" s="111">
        <f t="shared" si="26"/>
        <v>0</v>
      </c>
      <c r="X58" s="155">
        <f t="shared" si="33"/>
        <v>1</v>
      </c>
      <c r="Y58" s="199">
        <f t="shared" si="8"/>
        <v>1.4903550731110227</v>
      </c>
    </row>
    <row r="59" spans="1:28" s="6" customFormat="1" ht="46.5">
      <c r="A59" s="8"/>
      <c r="B59" s="192" t="s">
        <v>67</v>
      </c>
      <c r="C59" s="57">
        <v>21081500</v>
      </c>
      <c r="D59" s="248">
        <v>115.5</v>
      </c>
      <c r="E59" s="102">
        <v>115.5</v>
      </c>
      <c r="F59" s="102">
        <v>0</v>
      </c>
      <c r="G59" s="106">
        <v>-6.55</v>
      </c>
      <c r="H59" s="102">
        <f t="shared" si="25"/>
        <v>-6.55</v>
      </c>
      <c r="I59" s="213" t="e">
        <f t="shared" si="23"/>
        <v>#DIV/0!</v>
      </c>
      <c r="J59" s="115">
        <f t="shared" si="27"/>
        <v>-122.05</v>
      </c>
      <c r="K59" s="155">
        <f t="shared" si="24"/>
        <v>-0.05670995670995671</v>
      </c>
      <c r="L59" s="115"/>
      <c r="M59" s="115"/>
      <c r="N59" s="115"/>
      <c r="O59" s="115">
        <v>114.3</v>
      </c>
      <c r="P59" s="115">
        <f t="shared" si="28"/>
        <v>1.2000000000000028</v>
      </c>
      <c r="Q59" s="155">
        <f t="shared" si="29"/>
        <v>1.010498687664042</v>
      </c>
      <c r="R59" s="115">
        <v>0</v>
      </c>
      <c r="S59" s="115">
        <f t="shared" si="5"/>
        <v>-6.55</v>
      </c>
      <c r="T59" s="155" t="e">
        <f t="shared" si="30"/>
        <v>#DIV/0!</v>
      </c>
      <c r="U59" s="107">
        <f t="shared" si="31"/>
        <v>0</v>
      </c>
      <c r="V59" s="110">
        <f t="shared" si="32"/>
        <v>-6.55</v>
      </c>
      <c r="W59" s="111">
        <f t="shared" si="26"/>
        <v>-6.55</v>
      </c>
      <c r="X59" s="155" t="e">
        <f t="shared" si="33"/>
        <v>#DIV/0!</v>
      </c>
      <c r="Y59" s="199" t="e">
        <f t="shared" si="8"/>
        <v>#DIV/0!</v>
      </c>
      <c r="AB59" s="101"/>
    </row>
    <row r="60" spans="1:25" s="6" customFormat="1" ht="30.75">
      <c r="A60" s="8"/>
      <c r="B60" s="192" t="s">
        <v>89</v>
      </c>
      <c r="C60" s="40">
        <v>22010300</v>
      </c>
      <c r="D60" s="249">
        <v>1284</v>
      </c>
      <c r="E60" s="102">
        <v>1284</v>
      </c>
      <c r="F60" s="102">
        <v>89.19</v>
      </c>
      <c r="G60" s="106">
        <v>89.19</v>
      </c>
      <c r="H60" s="102">
        <f t="shared" si="25"/>
        <v>0</v>
      </c>
      <c r="I60" s="213">
        <f t="shared" si="23"/>
        <v>1</v>
      </c>
      <c r="J60" s="115">
        <f t="shared" si="27"/>
        <v>-1194.81</v>
      </c>
      <c r="K60" s="155">
        <f t="shared" si="24"/>
        <v>0.0694626168224299</v>
      </c>
      <c r="L60" s="115"/>
      <c r="M60" s="115"/>
      <c r="N60" s="115"/>
      <c r="O60" s="115">
        <v>1205.14</v>
      </c>
      <c r="P60" s="115">
        <f t="shared" si="28"/>
        <v>78.8599999999999</v>
      </c>
      <c r="Q60" s="155">
        <f t="shared" si="29"/>
        <v>1.0654363808354215</v>
      </c>
      <c r="R60" s="115">
        <v>89.45</v>
      </c>
      <c r="S60" s="115">
        <f t="shared" si="5"/>
        <v>-0.2600000000000051</v>
      </c>
      <c r="T60" s="155">
        <f t="shared" si="30"/>
        <v>0.9970933482392398</v>
      </c>
      <c r="U60" s="107">
        <f t="shared" si="31"/>
        <v>89.19</v>
      </c>
      <c r="V60" s="110">
        <f t="shared" si="32"/>
        <v>89.19</v>
      </c>
      <c r="W60" s="111">
        <f t="shared" si="26"/>
        <v>0</v>
      </c>
      <c r="X60" s="155">
        <f t="shared" si="33"/>
        <v>1</v>
      </c>
      <c r="Y60" s="199">
        <f t="shared" si="8"/>
        <v>-0.06834303259618169</v>
      </c>
    </row>
    <row r="61" spans="1:25" s="6" customFormat="1" ht="18" hidden="1">
      <c r="A61" s="8"/>
      <c r="B61" s="88" t="s">
        <v>106</v>
      </c>
      <c r="C61" s="40">
        <v>22010200</v>
      </c>
      <c r="D61" s="235"/>
      <c r="E61" s="102"/>
      <c r="F61" s="102">
        <v>0</v>
      </c>
      <c r="G61" s="106">
        <v>0</v>
      </c>
      <c r="H61" s="102">
        <f t="shared" si="25"/>
        <v>0</v>
      </c>
      <c r="I61" s="213" t="e">
        <f t="shared" si="23"/>
        <v>#DIV/0!</v>
      </c>
      <c r="J61" s="115">
        <f t="shared" si="27"/>
        <v>0</v>
      </c>
      <c r="K61" s="155" t="e">
        <f t="shared" si="24"/>
        <v>#DIV/0!</v>
      </c>
      <c r="L61" s="115"/>
      <c r="M61" s="115"/>
      <c r="N61" s="115"/>
      <c r="O61" s="115">
        <v>23.38</v>
      </c>
      <c r="P61" s="115">
        <f t="shared" si="28"/>
        <v>-23.38</v>
      </c>
      <c r="Q61" s="155">
        <f t="shared" si="29"/>
        <v>0</v>
      </c>
      <c r="R61" s="115">
        <v>0</v>
      </c>
      <c r="S61" s="115">
        <f t="shared" si="5"/>
        <v>0</v>
      </c>
      <c r="T61" s="155"/>
      <c r="U61" s="107">
        <f t="shared" si="31"/>
        <v>0</v>
      </c>
      <c r="V61" s="110">
        <f t="shared" si="32"/>
        <v>0</v>
      </c>
      <c r="W61" s="111">
        <f t="shared" si="26"/>
        <v>0</v>
      </c>
      <c r="X61" s="155" t="e">
        <f t="shared" si="33"/>
        <v>#DIV/0!</v>
      </c>
      <c r="Y61" s="199">
        <f t="shared" si="8"/>
        <v>0</v>
      </c>
    </row>
    <row r="62" spans="1:25" s="6" customFormat="1" ht="18">
      <c r="A62" s="8"/>
      <c r="B62" s="193" t="s">
        <v>65</v>
      </c>
      <c r="C62" s="57">
        <v>22012500</v>
      </c>
      <c r="D62" s="248">
        <v>21260</v>
      </c>
      <c r="E62" s="102">
        <v>21260</v>
      </c>
      <c r="F62" s="102">
        <v>1890</v>
      </c>
      <c r="G62" s="106">
        <v>1894.1</v>
      </c>
      <c r="H62" s="102">
        <f t="shared" si="25"/>
        <v>4.099999999999909</v>
      </c>
      <c r="I62" s="213">
        <f t="shared" si="23"/>
        <v>1.002169312169312</v>
      </c>
      <c r="J62" s="115">
        <f t="shared" si="27"/>
        <v>-19365.9</v>
      </c>
      <c r="K62" s="155">
        <f t="shared" si="24"/>
        <v>0.08909219190968955</v>
      </c>
      <c r="L62" s="115"/>
      <c r="M62" s="115"/>
      <c r="N62" s="115"/>
      <c r="O62" s="115">
        <v>20110.14</v>
      </c>
      <c r="P62" s="115">
        <f t="shared" si="28"/>
        <v>1149.8600000000006</v>
      </c>
      <c r="Q62" s="155">
        <f t="shared" si="29"/>
        <v>1.0571781200926498</v>
      </c>
      <c r="R62" s="115">
        <v>1052.56</v>
      </c>
      <c r="S62" s="115">
        <f t="shared" si="5"/>
        <v>841.54</v>
      </c>
      <c r="T62" s="155">
        <f t="shared" si="30"/>
        <v>1.7995173671809683</v>
      </c>
      <c r="U62" s="107">
        <f t="shared" si="31"/>
        <v>1890</v>
      </c>
      <c r="V62" s="110">
        <f t="shared" si="32"/>
        <v>1894.1</v>
      </c>
      <c r="W62" s="111">
        <f t="shared" si="26"/>
        <v>4.099999999999909</v>
      </c>
      <c r="X62" s="155">
        <f t="shared" si="33"/>
        <v>1.002169312169312</v>
      </c>
      <c r="Y62" s="199">
        <f t="shared" si="8"/>
        <v>0.7423392470883186</v>
      </c>
    </row>
    <row r="63" spans="1:25" s="6" customFormat="1" ht="31.5">
      <c r="A63" s="8"/>
      <c r="B63" s="193" t="s">
        <v>86</v>
      </c>
      <c r="C63" s="57">
        <v>22012600</v>
      </c>
      <c r="D63" s="248">
        <v>767</v>
      </c>
      <c r="E63" s="102">
        <v>767</v>
      </c>
      <c r="F63" s="102">
        <f>56.1+0.9</f>
        <v>57</v>
      </c>
      <c r="G63" s="106">
        <v>59.37</v>
      </c>
      <c r="H63" s="102">
        <f t="shared" si="25"/>
        <v>2.3699999999999974</v>
      </c>
      <c r="I63" s="213">
        <f t="shared" si="23"/>
        <v>1.041578947368421</v>
      </c>
      <c r="J63" s="115">
        <f t="shared" si="27"/>
        <v>-707.63</v>
      </c>
      <c r="K63" s="155">
        <f t="shared" si="24"/>
        <v>0.07740547588005214</v>
      </c>
      <c r="L63" s="115"/>
      <c r="M63" s="115"/>
      <c r="N63" s="115"/>
      <c r="O63" s="115">
        <v>710.04</v>
      </c>
      <c r="P63" s="115">
        <f t="shared" si="28"/>
        <v>56.960000000000036</v>
      </c>
      <c r="Q63" s="155">
        <f t="shared" si="29"/>
        <v>1.0802208326291478</v>
      </c>
      <c r="R63" s="115">
        <v>44.53</v>
      </c>
      <c r="S63" s="115">
        <f t="shared" si="5"/>
        <v>14.839999999999996</v>
      </c>
      <c r="T63" s="155">
        <f t="shared" si="30"/>
        <v>1.3332584774309453</v>
      </c>
      <c r="U63" s="107">
        <f t="shared" si="31"/>
        <v>57</v>
      </c>
      <c r="V63" s="110">
        <f t="shared" si="32"/>
        <v>59.37</v>
      </c>
      <c r="W63" s="111">
        <f t="shared" si="26"/>
        <v>2.3699999999999974</v>
      </c>
      <c r="X63" s="155">
        <f t="shared" si="33"/>
        <v>1.041578947368421</v>
      </c>
      <c r="Y63" s="199">
        <f t="shared" si="8"/>
        <v>0.25303764480179747</v>
      </c>
    </row>
    <row r="64" spans="1:25" s="6" customFormat="1" ht="31.5">
      <c r="A64" s="8"/>
      <c r="B64" s="26" t="s">
        <v>90</v>
      </c>
      <c r="C64" s="57">
        <v>22012900</v>
      </c>
      <c r="D64" s="248">
        <v>44</v>
      </c>
      <c r="E64" s="102">
        <v>44</v>
      </c>
      <c r="F64" s="102">
        <v>1</v>
      </c>
      <c r="G64" s="106">
        <v>1.06</v>
      </c>
      <c r="H64" s="102">
        <f t="shared" si="25"/>
        <v>0.06000000000000005</v>
      </c>
      <c r="I64" s="213">
        <f t="shared" si="23"/>
        <v>1.06</v>
      </c>
      <c r="J64" s="115">
        <f t="shared" si="27"/>
        <v>-42.94</v>
      </c>
      <c r="K64" s="155">
        <f t="shared" si="24"/>
        <v>0.024090909090909093</v>
      </c>
      <c r="L64" s="115"/>
      <c r="M64" s="115"/>
      <c r="N64" s="115"/>
      <c r="O64" s="115">
        <v>41.44</v>
      </c>
      <c r="P64" s="115">
        <f t="shared" si="28"/>
        <v>2.5600000000000023</v>
      </c>
      <c r="Q64" s="155">
        <f t="shared" si="29"/>
        <v>1.0617760617760619</v>
      </c>
      <c r="R64" s="115">
        <v>0</v>
      </c>
      <c r="S64" s="115">
        <f t="shared" si="5"/>
        <v>1.06</v>
      </c>
      <c r="T64" s="155" t="e">
        <f t="shared" si="30"/>
        <v>#DIV/0!</v>
      </c>
      <c r="U64" s="107">
        <f t="shared" si="31"/>
        <v>1</v>
      </c>
      <c r="V64" s="110">
        <f t="shared" si="32"/>
        <v>1.06</v>
      </c>
      <c r="W64" s="111">
        <f t="shared" si="26"/>
        <v>0.06000000000000005</v>
      </c>
      <c r="X64" s="155">
        <f t="shared" si="33"/>
        <v>1.06</v>
      </c>
      <c r="Y64" s="199" t="e">
        <f t="shared" si="8"/>
        <v>#DIV/0!</v>
      </c>
    </row>
    <row r="65" spans="1:25" s="6" customFormat="1" ht="30.75">
      <c r="A65" s="8"/>
      <c r="B65" s="88" t="s">
        <v>14</v>
      </c>
      <c r="C65" s="40">
        <v>22080400</v>
      </c>
      <c r="D65" s="249">
        <v>6000</v>
      </c>
      <c r="E65" s="102">
        <v>6000</v>
      </c>
      <c r="F65" s="102">
        <v>564.14</v>
      </c>
      <c r="G65" s="106">
        <v>564.14</v>
      </c>
      <c r="H65" s="102">
        <f t="shared" si="25"/>
        <v>0</v>
      </c>
      <c r="I65" s="213">
        <f t="shared" si="23"/>
        <v>1</v>
      </c>
      <c r="J65" s="115">
        <f t="shared" si="27"/>
        <v>-5435.86</v>
      </c>
      <c r="K65" s="155">
        <f t="shared" si="24"/>
        <v>0.09402333333333333</v>
      </c>
      <c r="L65" s="115"/>
      <c r="M65" s="115"/>
      <c r="N65" s="115"/>
      <c r="O65" s="115">
        <v>6545.96</v>
      </c>
      <c r="P65" s="115">
        <f t="shared" si="28"/>
        <v>-545.96</v>
      </c>
      <c r="Q65" s="155">
        <f t="shared" si="29"/>
        <v>0.9165958850955398</v>
      </c>
      <c r="R65" s="115">
        <v>684.99</v>
      </c>
      <c r="S65" s="115">
        <f t="shared" si="5"/>
        <v>-120.85000000000002</v>
      </c>
      <c r="T65" s="155">
        <f t="shared" si="30"/>
        <v>0.8235740667746974</v>
      </c>
      <c r="U65" s="107">
        <f t="shared" si="31"/>
        <v>564.14</v>
      </c>
      <c r="V65" s="110">
        <f t="shared" si="32"/>
        <v>564.14</v>
      </c>
      <c r="W65" s="111">
        <f t="shared" si="26"/>
        <v>0</v>
      </c>
      <c r="X65" s="155">
        <f t="shared" si="33"/>
        <v>1</v>
      </c>
      <c r="Y65" s="199">
        <f t="shared" si="8"/>
        <v>-0.09302181832084244</v>
      </c>
    </row>
    <row r="66" spans="1:25" s="6" customFormat="1" ht="19.5" customHeight="1">
      <c r="A66" s="8"/>
      <c r="B66" s="88" t="s">
        <v>15</v>
      </c>
      <c r="C66" s="34">
        <v>22090000</v>
      </c>
      <c r="D66" s="232">
        <f>D67+D68+D70</f>
        <v>866</v>
      </c>
      <c r="E66" s="102">
        <v>866</v>
      </c>
      <c r="F66" s="102">
        <v>46.24</v>
      </c>
      <c r="G66" s="106">
        <v>46.24</v>
      </c>
      <c r="H66" s="102">
        <f t="shared" si="25"/>
        <v>0</v>
      </c>
      <c r="I66" s="213">
        <f t="shared" si="23"/>
        <v>1</v>
      </c>
      <c r="J66" s="115">
        <f t="shared" si="27"/>
        <v>-819.76</v>
      </c>
      <c r="K66" s="155">
        <f t="shared" si="24"/>
        <v>0.05339491916859122</v>
      </c>
      <c r="L66" s="115"/>
      <c r="M66" s="115"/>
      <c r="N66" s="115"/>
      <c r="O66" s="115">
        <v>896.22</v>
      </c>
      <c r="P66" s="115">
        <f t="shared" si="28"/>
        <v>-30.220000000000027</v>
      </c>
      <c r="Q66" s="155">
        <f t="shared" si="29"/>
        <v>0.9662806007453527</v>
      </c>
      <c r="R66" s="115">
        <v>40.09</v>
      </c>
      <c r="S66" s="115">
        <f t="shared" si="5"/>
        <v>6.149999999999999</v>
      </c>
      <c r="T66" s="155">
        <f t="shared" si="30"/>
        <v>1.153404839111998</v>
      </c>
      <c r="U66" s="107">
        <f t="shared" si="31"/>
        <v>46.24</v>
      </c>
      <c r="V66" s="110">
        <f t="shared" si="32"/>
        <v>46.24</v>
      </c>
      <c r="W66" s="111">
        <f t="shared" si="26"/>
        <v>0</v>
      </c>
      <c r="X66" s="155">
        <f t="shared" si="33"/>
        <v>1</v>
      </c>
      <c r="Y66" s="199">
        <f t="shared" si="8"/>
        <v>0.18712423836664527</v>
      </c>
    </row>
    <row r="67" spans="1:25" s="6" customFormat="1" ht="15" hidden="1">
      <c r="A67" s="8"/>
      <c r="B67" s="195" t="s">
        <v>84</v>
      </c>
      <c r="C67" s="138">
        <v>22090100</v>
      </c>
      <c r="D67" s="233">
        <v>728.2</v>
      </c>
      <c r="E67" s="71">
        <v>728.2</v>
      </c>
      <c r="F67" s="71">
        <v>34.42</v>
      </c>
      <c r="G67" s="94">
        <v>34.42</v>
      </c>
      <c r="H67" s="71">
        <f t="shared" si="25"/>
        <v>0</v>
      </c>
      <c r="I67" s="209">
        <f t="shared" si="23"/>
        <v>1</v>
      </c>
      <c r="J67" s="72">
        <f t="shared" si="27"/>
        <v>-693.7800000000001</v>
      </c>
      <c r="K67" s="75">
        <f t="shared" si="24"/>
        <v>0.04726723427629772</v>
      </c>
      <c r="L67" s="72"/>
      <c r="M67" s="72"/>
      <c r="N67" s="72"/>
      <c r="O67" s="72">
        <v>760.62</v>
      </c>
      <c r="P67" s="72">
        <f t="shared" si="28"/>
        <v>-32.41999999999996</v>
      </c>
      <c r="Q67" s="75">
        <f t="shared" si="29"/>
        <v>0.957376876758434</v>
      </c>
      <c r="R67" s="72">
        <v>32.81</v>
      </c>
      <c r="S67" s="203">
        <f t="shared" si="5"/>
        <v>1.6099999999999994</v>
      </c>
      <c r="T67" s="204">
        <f t="shared" si="30"/>
        <v>1.0490704053642181</v>
      </c>
      <c r="U67" s="73">
        <f aca="true" t="shared" si="34" ref="U67:V71">F67</f>
        <v>34.42</v>
      </c>
      <c r="V67" s="98">
        <f t="shared" si="34"/>
        <v>34.42</v>
      </c>
      <c r="W67" s="74">
        <f t="shared" si="26"/>
        <v>0</v>
      </c>
      <c r="X67" s="75">
        <f t="shared" si="33"/>
        <v>1</v>
      </c>
      <c r="Y67" s="199">
        <f t="shared" si="8"/>
        <v>0.09169352860578417</v>
      </c>
    </row>
    <row r="68" spans="1:25" s="6" customFormat="1" ht="15" hidden="1">
      <c r="A68" s="8"/>
      <c r="B68" s="195" t="s">
        <v>81</v>
      </c>
      <c r="C68" s="138">
        <v>22090200</v>
      </c>
      <c r="D68" s="233">
        <v>1</v>
      </c>
      <c r="E68" s="71">
        <v>1</v>
      </c>
      <c r="F68" s="71">
        <v>0</v>
      </c>
      <c r="G68" s="94">
        <v>0</v>
      </c>
      <c r="H68" s="71">
        <f t="shared" si="25"/>
        <v>0</v>
      </c>
      <c r="I68" s="209" t="e">
        <f t="shared" si="23"/>
        <v>#DIV/0!</v>
      </c>
      <c r="J68" s="72">
        <f t="shared" si="27"/>
        <v>-1</v>
      </c>
      <c r="K68" s="75">
        <f t="shared" si="24"/>
        <v>0</v>
      </c>
      <c r="L68" s="72"/>
      <c r="M68" s="72"/>
      <c r="N68" s="72"/>
      <c r="O68" s="72">
        <v>0.18</v>
      </c>
      <c r="P68" s="72">
        <f t="shared" si="28"/>
        <v>0.8200000000000001</v>
      </c>
      <c r="Q68" s="75">
        <f t="shared" si="29"/>
        <v>5.555555555555555</v>
      </c>
      <c r="R68" s="72">
        <v>0.01</v>
      </c>
      <c r="S68" s="203">
        <f t="shared" si="5"/>
        <v>-0.01</v>
      </c>
      <c r="T68" s="204">
        <f t="shared" si="30"/>
        <v>0</v>
      </c>
      <c r="U68" s="73">
        <f t="shared" si="34"/>
        <v>0</v>
      </c>
      <c r="V68" s="98">
        <f t="shared" si="34"/>
        <v>0</v>
      </c>
      <c r="W68" s="74">
        <f t="shared" si="26"/>
        <v>0</v>
      </c>
      <c r="X68" s="75"/>
      <c r="Y68" s="199">
        <f t="shared" si="8"/>
        <v>-5.555555555555555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1"/>
      <c r="E69" s="71"/>
      <c r="F69" s="71">
        <v>0</v>
      </c>
      <c r="G69" s="94">
        <v>0</v>
      </c>
      <c r="H69" s="71">
        <f t="shared" si="25"/>
        <v>0</v>
      </c>
      <c r="I69" s="209" t="e">
        <f t="shared" si="23"/>
        <v>#DIV/0!</v>
      </c>
      <c r="J69" s="72">
        <f t="shared" si="27"/>
        <v>0</v>
      </c>
      <c r="K69" s="75" t="e">
        <f t="shared" si="24"/>
        <v>#DIV/0!</v>
      </c>
      <c r="L69" s="72"/>
      <c r="M69" s="72"/>
      <c r="N69" s="72"/>
      <c r="O69" s="72">
        <v>0</v>
      </c>
      <c r="P69" s="72">
        <f t="shared" si="28"/>
        <v>0</v>
      </c>
      <c r="Q69" s="75" t="e">
        <f t="shared" si="29"/>
        <v>#DIV/0!</v>
      </c>
      <c r="R69" s="72">
        <f>O69</f>
        <v>0</v>
      </c>
      <c r="S69" s="203">
        <f t="shared" si="5"/>
        <v>0</v>
      </c>
      <c r="T69" s="204" t="e">
        <f t="shared" si="30"/>
        <v>#DIV/0!</v>
      </c>
      <c r="U69" s="73">
        <f t="shared" si="34"/>
        <v>0</v>
      </c>
      <c r="V69" s="98">
        <f t="shared" si="34"/>
        <v>0</v>
      </c>
      <c r="W69" s="74">
        <f t="shared" si="26"/>
        <v>0</v>
      </c>
      <c r="X69" s="75"/>
      <c r="Y69" s="199" t="e">
        <f t="shared" si="8"/>
        <v>#DIV/0!</v>
      </c>
    </row>
    <row r="70" spans="1:25" s="6" customFormat="1" ht="15" hidden="1">
      <c r="A70" s="8"/>
      <c r="B70" s="195" t="s">
        <v>83</v>
      </c>
      <c r="C70" s="138">
        <v>22090400</v>
      </c>
      <c r="D70" s="233">
        <v>136.8</v>
      </c>
      <c r="E70" s="71">
        <v>136.8</v>
      </c>
      <c r="F70" s="71">
        <v>11.82</v>
      </c>
      <c r="G70" s="94">
        <v>11.82</v>
      </c>
      <c r="H70" s="71">
        <f t="shared" si="25"/>
        <v>0</v>
      </c>
      <c r="I70" s="209">
        <f t="shared" si="23"/>
        <v>1</v>
      </c>
      <c r="J70" s="72">
        <f t="shared" si="27"/>
        <v>-124.98000000000002</v>
      </c>
      <c r="K70" s="75">
        <f t="shared" si="24"/>
        <v>0.08640350877192982</v>
      </c>
      <c r="L70" s="72"/>
      <c r="M70" s="72"/>
      <c r="N70" s="72"/>
      <c r="O70" s="72">
        <v>135.42</v>
      </c>
      <c r="P70" s="72">
        <f t="shared" si="28"/>
        <v>1.3800000000000239</v>
      </c>
      <c r="Q70" s="75">
        <f t="shared" si="29"/>
        <v>1.01019051838724</v>
      </c>
      <c r="R70" s="72">
        <v>7.27</v>
      </c>
      <c r="S70" s="203">
        <f t="shared" si="5"/>
        <v>4.550000000000001</v>
      </c>
      <c r="T70" s="204">
        <f t="shared" si="30"/>
        <v>1.62585969738652</v>
      </c>
      <c r="U70" s="73">
        <f t="shared" si="34"/>
        <v>11.82</v>
      </c>
      <c r="V70" s="98">
        <f t="shared" si="34"/>
        <v>11.82</v>
      </c>
      <c r="W70" s="74">
        <f t="shared" si="26"/>
        <v>0</v>
      </c>
      <c r="X70" s="75">
        <f t="shared" si="33"/>
        <v>1</v>
      </c>
      <c r="Y70" s="199">
        <f t="shared" si="8"/>
        <v>0.6156691789992801</v>
      </c>
    </row>
    <row r="71" spans="1:25" s="6" customFormat="1" ht="46.5">
      <c r="A71" s="8"/>
      <c r="B71" s="88" t="s">
        <v>17</v>
      </c>
      <c r="C71" s="11" t="s">
        <v>18</v>
      </c>
      <c r="D71" s="252">
        <v>3</v>
      </c>
      <c r="E71" s="102">
        <v>3</v>
      </c>
      <c r="F71" s="102">
        <v>0</v>
      </c>
      <c r="G71" s="106">
        <v>0</v>
      </c>
      <c r="H71" s="102">
        <f t="shared" si="25"/>
        <v>0</v>
      </c>
      <c r="I71" s="213" t="e">
        <f t="shared" si="23"/>
        <v>#DIV/0!</v>
      </c>
      <c r="J71" s="115">
        <f t="shared" si="27"/>
        <v>-3</v>
      </c>
      <c r="K71" s="155">
        <f t="shared" si="24"/>
        <v>0</v>
      </c>
      <c r="L71" s="115"/>
      <c r="M71" s="115"/>
      <c r="N71" s="115"/>
      <c r="O71" s="115">
        <v>2.04</v>
      </c>
      <c r="P71" s="115">
        <f t="shared" si="28"/>
        <v>0.96</v>
      </c>
      <c r="Q71" s="155">
        <f t="shared" si="29"/>
        <v>1.4705882352941175</v>
      </c>
      <c r="R71" s="115">
        <v>1.67</v>
      </c>
      <c r="S71" s="115">
        <f t="shared" si="5"/>
        <v>-1.67</v>
      </c>
      <c r="T71" s="155">
        <f t="shared" si="30"/>
        <v>0</v>
      </c>
      <c r="U71" s="107">
        <f t="shared" si="34"/>
        <v>0</v>
      </c>
      <c r="V71" s="110">
        <f t="shared" si="34"/>
        <v>0</v>
      </c>
      <c r="W71" s="111">
        <f t="shared" si="26"/>
        <v>0</v>
      </c>
      <c r="X71" s="155"/>
      <c r="Y71" s="199">
        <f t="shared" si="8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2">
        <v>8170</v>
      </c>
      <c r="E72" s="102">
        <v>8170</v>
      </c>
      <c r="F72" s="102">
        <v>568.65</v>
      </c>
      <c r="G72" s="106">
        <v>568.65</v>
      </c>
      <c r="H72" s="102">
        <f t="shared" si="25"/>
        <v>0</v>
      </c>
      <c r="I72" s="213">
        <f t="shared" si="23"/>
        <v>1</v>
      </c>
      <c r="J72" s="115">
        <f t="shared" si="27"/>
        <v>-7601.35</v>
      </c>
      <c r="K72" s="155">
        <f t="shared" si="24"/>
        <v>0.06960220318237453</v>
      </c>
      <c r="L72" s="115"/>
      <c r="M72" s="115"/>
      <c r="N72" s="115"/>
      <c r="O72" s="115">
        <v>8086.92</v>
      </c>
      <c r="P72" s="115">
        <f t="shared" si="28"/>
        <v>83.07999999999993</v>
      </c>
      <c r="Q72" s="155">
        <f t="shared" si="29"/>
        <v>1.0102733797292418</v>
      </c>
      <c r="R72" s="115">
        <v>2247.33</v>
      </c>
      <c r="S72" s="115">
        <f t="shared" si="5"/>
        <v>-1678.6799999999998</v>
      </c>
      <c r="T72" s="155">
        <f t="shared" si="30"/>
        <v>0.2530335998718479</v>
      </c>
      <c r="U72" s="107">
        <f aca="true" t="shared" si="35" ref="U72:U78">F72</f>
        <v>568.65</v>
      </c>
      <c r="V72" s="110">
        <f aca="true" t="shared" si="36" ref="V72:V78">G72</f>
        <v>568.65</v>
      </c>
      <c r="W72" s="111">
        <f t="shared" si="26"/>
        <v>0</v>
      </c>
      <c r="X72" s="155">
        <f t="shared" si="33"/>
        <v>1</v>
      </c>
      <c r="Y72" s="199">
        <f aca="true" t="shared" si="37" ref="Y72:Y101">T72-Q72</f>
        <v>-0.7572397798573939</v>
      </c>
    </row>
    <row r="73" spans="1:25" s="6" customFormat="1" ht="18" hidden="1">
      <c r="A73" s="8"/>
      <c r="B73" s="12" t="s">
        <v>22</v>
      </c>
      <c r="C73" s="49" t="s">
        <v>23</v>
      </c>
      <c r="D73" s="253"/>
      <c r="E73" s="24"/>
      <c r="F73" s="24">
        <v>0</v>
      </c>
      <c r="G73" s="93">
        <v>0</v>
      </c>
      <c r="H73" s="102">
        <f t="shared" si="25"/>
        <v>0</v>
      </c>
      <c r="I73" s="213" t="e">
        <f>G73/F73*100</f>
        <v>#DIV/0!</v>
      </c>
      <c r="J73" s="115">
        <f t="shared" si="27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30"/>
        <v>#DIV/0!</v>
      </c>
      <c r="U73" s="107">
        <f t="shared" si="35"/>
        <v>0</v>
      </c>
      <c r="V73" s="110">
        <f t="shared" si="36"/>
        <v>0</v>
      </c>
      <c r="W73" s="111">
        <f t="shared" si="26"/>
        <v>0</v>
      </c>
      <c r="X73" s="155" t="e">
        <f t="shared" si="33"/>
        <v>#DIV/0!</v>
      </c>
      <c r="Y73" s="199" t="e">
        <f t="shared" si="37"/>
        <v>#DIV/0!</v>
      </c>
    </row>
    <row r="74" spans="1:25" s="6" customFormat="1" ht="30.75" hidden="1">
      <c r="A74" s="8"/>
      <c r="B74" s="41" t="s">
        <v>37</v>
      </c>
      <c r="C74" s="49"/>
      <c r="D74" s="253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30"/>
        <v>0</v>
      </c>
      <c r="U74" s="107">
        <f t="shared" si="35"/>
        <v>0</v>
      </c>
      <c r="V74" s="110">
        <f t="shared" si="36"/>
        <v>0</v>
      </c>
      <c r="W74" s="116">
        <f t="shared" si="26"/>
        <v>0</v>
      </c>
      <c r="X74" s="155"/>
      <c r="Y74" s="199">
        <f t="shared" si="37"/>
        <v>0</v>
      </c>
    </row>
    <row r="75" spans="1:25" s="6" customFormat="1" ht="18" hidden="1">
      <c r="A75" s="8"/>
      <c r="B75" s="89" t="s">
        <v>20</v>
      </c>
      <c r="C75" s="86" t="s">
        <v>21</v>
      </c>
      <c r="D75" s="254"/>
      <c r="E75" s="27"/>
      <c r="F75" s="27">
        <v>0</v>
      </c>
      <c r="G75" s="95">
        <v>0</v>
      </c>
      <c r="H75" s="102">
        <f t="shared" si="25"/>
        <v>0</v>
      </c>
      <c r="I75" s="213" t="e">
        <f>G75/F75*100</f>
        <v>#DIV/0!</v>
      </c>
      <c r="J75" s="115">
        <f t="shared" si="27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30"/>
        <v>#DIV/0!</v>
      </c>
      <c r="U75" s="107">
        <f t="shared" si="35"/>
        <v>0</v>
      </c>
      <c r="V75" s="110">
        <f t="shared" si="36"/>
        <v>0</v>
      </c>
      <c r="W75" s="111">
        <f t="shared" si="26"/>
        <v>0</v>
      </c>
      <c r="X75" s="155" t="e">
        <f t="shared" si="33"/>
        <v>#DIV/0!</v>
      </c>
      <c r="Y75" s="199" t="e">
        <f t="shared" si="37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2">
        <v>174.4</v>
      </c>
      <c r="E76" s="102">
        <v>174.4</v>
      </c>
      <c r="F76" s="102">
        <v>0</v>
      </c>
      <c r="G76" s="106">
        <v>0</v>
      </c>
      <c r="H76" s="102">
        <f t="shared" si="25"/>
        <v>0</v>
      </c>
      <c r="I76" s="213" t="e">
        <f>G76/F76</f>
        <v>#DIV/0!</v>
      </c>
      <c r="J76" s="115">
        <f t="shared" si="27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30"/>
        <v>0</v>
      </c>
      <c r="U76" s="107">
        <f t="shared" si="35"/>
        <v>0</v>
      </c>
      <c r="V76" s="110">
        <f t="shared" si="36"/>
        <v>0</v>
      </c>
      <c r="W76" s="111">
        <f t="shared" si="26"/>
        <v>0</v>
      </c>
      <c r="X76" s="155" t="e">
        <f t="shared" si="33"/>
        <v>#DIV/0!</v>
      </c>
      <c r="Y76" s="199">
        <f t="shared" si="37"/>
        <v>-1.2266141510761006</v>
      </c>
    </row>
    <row r="77" spans="1:28" s="6" customFormat="1" ht="27.75" customHeight="1">
      <c r="A77" s="8"/>
      <c r="B77" s="89" t="s">
        <v>39</v>
      </c>
      <c r="C77" s="34">
        <v>31010200</v>
      </c>
      <c r="D77" s="232">
        <v>35</v>
      </c>
      <c r="E77" s="102">
        <v>35</v>
      </c>
      <c r="F77" s="102">
        <v>3.77</v>
      </c>
      <c r="G77" s="106">
        <v>3.77</v>
      </c>
      <c r="H77" s="102">
        <f t="shared" si="25"/>
        <v>0</v>
      </c>
      <c r="I77" s="213">
        <f>G77/F77</f>
        <v>1</v>
      </c>
      <c r="J77" s="115">
        <f t="shared" si="27"/>
        <v>-31.23</v>
      </c>
      <c r="K77" s="155">
        <f>G77/E77</f>
        <v>0.10771428571428572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1.49</v>
      </c>
      <c r="S77" s="115">
        <f t="shared" si="5"/>
        <v>2.2800000000000002</v>
      </c>
      <c r="T77" s="155">
        <f t="shared" si="30"/>
        <v>2.530201342281879</v>
      </c>
      <c r="U77" s="107">
        <f t="shared" si="35"/>
        <v>3.77</v>
      </c>
      <c r="V77" s="110">
        <f t="shared" si="36"/>
        <v>3.77</v>
      </c>
      <c r="W77" s="111">
        <f t="shared" si="26"/>
        <v>0</v>
      </c>
      <c r="X77" s="155">
        <f t="shared" si="33"/>
        <v>1</v>
      </c>
      <c r="Y77" s="199">
        <f t="shared" si="37"/>
        <v>1.5074076543800674</v>
      </c>
      <c r="AB77" s="101"/>
    </row>
    <row r="78" spans="1:25" s="6" customFormat="1" ht="30.75" hidden="1">
      <c r="A78" s="8"/>
      <c r="B78" s="89" t="s">
        <v>49</v>
      </c>
      <c r="C78" s="34">
        <v>31020000</v>
      </c>
      <c r="D78" s="228"/>
      <c r="E78" s="102"/>
      <c r="F78" s="102">
        <f>E78</f>
        <v>0</v>
      </c>
      <c r="G78" s="106">
        <v>0</v>
      </c>
      <c r="H78" s="102">
        <f t="shared" si="25"/>
        <v>0</v>
      </c>
      <c r="I78" s="213" t="e">
        <f>G78/F78</f>
        <v>#DIV/0!</v>
      </c>
      <c r="J78" s="115">
        <f t="shared" si="27"/>
        <v>0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0</v>
      </c>
      <c r="S78" s="115">
        <f t="shared" si="5"/>
        <v>0</v>
      </c>
      <c r="T78" s="155" t="e">
        <f t="shared" si="30"/>
        <v>#DIV/0!</v>
      </c>
      <c r="U78" s="107">
        <f t="shared" si="35"/>
        <v>0</v>
      </c>
      <c r="V78" s="110">
        <f t="shared" si="36"/>
        <v>0</v>
      </c>
      <c r="W78" s="111">
        <f t="shared" si="26"/>
        <v>0</v>
      </c>
      <c r="X78" s="155"/>
      <c r="Y78" s="199" t="e">
        <f t="shared" si="37"/>
        <v>#DIV/0!</v>
      </c>
    </row>
    <row r="79" spans="1:25" s="6" customFormat="1" ht="17.25">
      <c r="A79" s="9"/>
      <c r="B79" s="13" t="s">
        <v>104</v>
      </c>
      <c r="C79" s="50"/>
      <c r="D79" s="103">
        <f>D8+D53+D77+D78</f>
        <v>1627917.7</v>
      </c>
      <c r="E79" s="103">
        <f>E8+E53+E77+E78</f>
        <v>1627917.7</v>
      </c>
      <c r="F79" s="103">
        <f>F8+F53+F77+F78</f>
        <v>115278.549</v>
      </c>
      <c r="G79" s="103">
        <f>G8+G53+G77+G78</f>
        <v>115278.54</v>
      </c>
      <c r="H79" s="103">
        <f>G79-F79</f>
        <v>-0.00900000000547152</v>
      </c>
      <c r="I79" s="210">
        <f>G79/F79</f>
        <v>0.9999999219282331</v>
      </c>
      <c r="J79" s="104">
        <f>G79-E79</f>
        <v>-1512639.16</v>
      </c>
      <c r="K79" s="156">
        <f>G79/E79</f>
        <v>0.07081349382711423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98086.18</v>
      </c>
      <c r="S79" s="104">
        <f>G79-R79</f>
        <v>17192.36</v>
      </c>
      <c r="T79" s="156">
        <f>G79/R79</f>
        <v>1.1752781074765069</v>
      </c>
      <c r="U79" s="103">
        <f>U8+U53+U77+U78</f>
        <v>115278.549</v>
      </c>
      <c r="V79" s="103">
        <f>V8+V53+V77+V78</f>
        <v>115278.54</v>
      </c>
      <c r="W79" s="135">
        <f>V79-U79</f>
        <v>-0.00900000000547152</v>
      </c>
      <c r="X79" s="156">
        <f>V79/U79</f>
        <v>0.9999999219282331</v>
      </c>
      <c r="Y79" s="199">
        <f t="shared" si="37"/>
        <v>0.011645641959045827</v>
      </c>
    </row>
    <row r="80" spans="1:25" s="39" customFormat="1" ht="17.25" hidden="1">
      <c r="A80" s="36"/>
      <c r="B80" s="43"/>
      <c r="C80" s="51"/>
      <c r="D80" s="51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9">
        <f t="shared" si="37"/>
        <v>0</v>
      </c>
    </row>
    <row r="81" spans="1:25" s="39" customFormat="1" ht="17.25" hidden="1">
      <c r="A81" s="36"/>
      <c r="B81" s="44"/>
      <c r="C81" s="51"/>
      <c r="D81" s="51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9">
        <f t="shared" si="37"/>
        <v>0</v>
      </c>
    </row>
    <row r="82" spans="1:25" s="39" customFormat="1" ht="17.25" hidden="1">
      <c r="A82" s="36"/>
      <c r="B82" s="44"/>
      <c r="C82" s="51"/>
      <c r="D82" s="51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9">
        <f t="shared" si="37"/>
        <v>0</v>
      </c>
    </row>
    <row r="83" spans="2:25" ht="15">
      <c r="B83" s="19" t="s">
        <v>91</v>
      </c>
      <c r="C83" s="52"/>
      <c r="D83" s="52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9">
        <f t="shared" si="37"/>
        <v>0</v>
      </c>
    </row>
    <row r="84" spans="2:25" ht="25.5" customHeight="1" hidden="1">
      <c r="B84" s="165" t="s">
        <v>87</v>
      </c>
      <c r="C84" s="90">
        <v>12020000</v>
      </c>
      <c r="D84" s="240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</f>
        <v>0</v>
      </c>
      <c r="V84" s="110">
        <f>G84</f>
        <v>0.01</v>
      </c>
      <c r="W84" s="117"/>
      <c r="X84" s="147"/>
      <c r="Y84" s="199" t="e">
        <f t="shared" si="37"/>
        <v>#DIV/0!</v>
      </c>
    </row>
    <row r="85" spans="2:25" ht="31.5" hidden="1">
      <c r="B85" s="20" t="s">
        <v>52</v>
      </c>
      <c r="C85" s="58">
        <v>18041500</v>
      </c>
      <c r="D85" s="241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</f>
        <v>0</v>
      </c>
      <c r="V85" s="110">
        <f>G85</f>
        <v>0</v>
      </c>
      <c r="W85" s="117">
        <f>V85-U85</f>
        <v>0</v>
      </c>
      <c r="X85" s="147"/>
      <c r="Y85" s="199" t="e">
        <f t="shared" si="37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8" ref="S86:S98">G86-R86</f>
        <v>0.01</v>
      </c>
      <c r="T86" s="151" t="e">
        <f aca="true" t="shared" si="39" ref="T86:T101">G86/R86</f>
        <v>#DIV/0!</v>
      </c>
      <c r="U86" s="129">
        <f>SUM(U84:U85)</f>
        <v>0</v>
      </c>
      <c r="V86" s="132">
        <f>SUM(V84:V85)</f>
        <v>0.01</v>
      </c>
      <c r="W86" s="131">
        <f>V86-U86</f>
        <v>0.01</v>
      </c>
      <c r="X86" s="151"/>
      <c r="Y86" s="199" t="e">
        <f t="shared" si="37"/>
        <v>#DIV/0!</v>
      </c>
    </row>
    <row r="87" spans="2:25" ht="45.75" hidden="1">
      <c r="B87" s="22" t="s">
        <v>32</v>
      </c>
      <c r="C87" s="90">
        <v>21110000</v>
      </c>
      <c r="D87" s="240">
        <v>0</v>
      </c>
      <c r="E87" s="127">
        <v>0</v>
      </c>
      <c r="F87" s="127">
        <v>0</v>
      </c>
      <c r="G87" s="128">
        <v>0</v>
      </c>
      <c r="H87" s="129">
        <f aca="true" t="shared" si="40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41" ref="P87:P98">E87-O87</f>
        <v>-35.57</v>
      </c>
      <c r="Q87" s="151">
        <f aca="true" t="shared" si="42" ref="Q87:Q98">E87/O87</f>
        <v>0</v>
      </c>
      <c r="R87" s="131">
        <v>11.81</v>
      </c>
      <c r="S87" s="131">
        <f t="shared" si="38"/>
        <v>-11.81</v>
      </c>
      <c r="T87" s="147"/>
      <c r="U87" s="130">
        <f aca="true" t="shared" si="43" ref="U87:V91">F87</f>
        <v>0</v>
      </c>
      <c r="V87" s="174">
        <f t="shared" si="43"/>
        <v>0</v>
      </c>
      <c r="W87" s="131">
        <f aca="true" t="shared" si="44" ref="W87:W98">V87-U87</f>
        <v>0</v>
      </c>
      <c r="X87" s="151"/>
      <c r="Y87" s="199">
        <f t="shared" si="37"/>
        <v>0</v>
      </c>
    </row>
    <row r="88" spans="2:25" ht="31.5">
      <c r="B88" s="20" t="s">
        <v>28</v>
      </c>
      <c r="C88" s="58">
        <v>31030000</v>
      </c>
      <c r="D88" s="255">
        <v>5000</v>
      </c>
      <c r="E88" s="125">
        <v>5000</v>
      </c>
      <c r="F88" s="125">
        <v>806.429</v>
      </c>
      <c r="G88" s="126">
        <v>806.43</v>
      </c>
      <c r="H88" s="112">
        <f t="shared" si="40"/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 t="shared" si="41"/>
        <v>4061.86</v>
      </c>
      <c r="Q88" s="147">
        <f t="shared" si="42"/>
        <v>5.329694928262306</v>
      </c>
      <c r="R88" s="117">
        <v>0.04</v>
      </c>
      <c r="S88" s="117">
        <f t="shared" si="38"/>
        <v>806.39</v>
      </c>
      <c r="T88" s="147">
        <f t="shared" si="39"/>
        <v>20160.75</v>
      </c>
      <c r="U88" s="107">
        <f t="shared" si="43"/>
        <v>806.429</v>
      </c>
      <c r="V88" s="110">
        <f t="shared" si="43"/>
        <v>806.43</v>
      </c>
      <c r="W88" s="117">
        <f t="shared" si="44"/>
        <v>0.0009999999999763531</v>
      </c>
      <c r="X88" s="147">
        <f>V88/U88</f>
        <v>1.0000012400347706</v>
      </c>
      <c r="Y88" s="199">
        <f t="shared" si="37"/>
        <v>20155.420305071737</v>
      </c>
    </row>
    <row r="89" spans="2:25" ht="18">
      <c r="B89" s="20" t="s">
        <v>29</v>
      </c>
      <c r="C89" s="58">
        <v>33010000</v>
      </c>
      <c r="D89" s="255">
        <v>16449</v>
      </c>
      <c r="E89" s="125">
        <v>16449</v>
      </c>
      <c r="F89" s="125">
        <v>15</v>
      </c>
      <c r="G89" s="126">
        <v>15</v>
      </c>
      <c r="H89" s="112">
        <f t="shared" si="40"/>
        <v>0</v>
      </c>
      <c r="I89" s="213">
        <f>G89/F89</f>
        <v>1</v>
      </c>
      <c r="J89" s="117">
        <f aca="true" t="shared" si="45" ref="J89:J98">G89-E89</f>
        <v>-16434</v>
      </c>
      <c r="K89" s="147">
        <f>G89/E89</f>
        <v>0.0009119095385737735</v>
      </c>
      <c r="L89" s="117"/>
      <c r="M89" s="117"/>
      <c r="N89" s="117"/>
      <c r="O89" s="117">
        <v>8143.65</v>
      </c>
      <c r="P89" s="117">
        <f t="shared" si="41"/>
        <v>8305.35</v>
      </c>
      <c r="Q89" s="147">
        <f t="shared" si="42"/>
        <v>2.0198559613932328</v>
      </c>
      <c r="R89" s="117">
        <v>1.9</v>
      </c>
      <c r="S89" s="117">
        <f t="shared" si="38"/>
        <v>13.1</v>
      </c>
      <c r="T89" s="147">
        <f t="shared" si="39"/>
        <v>7.894736842105264</v>
      </c>
      <c r="U89" s="107">
        <f t="shared" si="43"/>
        <v>15</v>
      </c>
      <c r="V89" s="110">
        <f t="shared" si="43"/>
        <v>15</v>
      </c>
      <c r="W89" s="117">
        <f t="shared" si="44"/>
        <v>0</v>
      </c>
      <c r="X89" s="147">
        <f>V89/U89</f>
        <v>1</v>
      </c>
      <c r="Y89" s="199">
        <f t="shared" si="37"/>
        <v>5.8748808807120305</v>
      </c>
    </row>
    <row r="90" spans="2:25" ht="31.5">
      <c r="B90" s="20" t="s">
        <v>48</v>
      </c>
      <c r="C90" s="58">
        <v>24170000</v>
      </c>
      <c r="D90" s="255">
        <v>22000</v>
      </c>
      <c r="E90" s="125">
        <v>22000</v>
      </c>
      <c r="F90" s="125">
        <v>157</v>
      </c>
      <c r="G90" s="126">
        <v>157.01</v>
      </c>
      <c r="H90" s="112">
        <f t="shared" si="40"/>
        <v>0.009999999999990905</v>
      </c>
      <c r="I90" s="213">
        <f>G90/F90</f>
        <v>1.0000636942675158</v>
      </c>
      <c r="J90" s="117">
        <f t="shared" si="45"/>
        <v>-21842.99</v>
      </c>
      <c r="K90" s="147">
        <f>G90/E90</f>
        <v>0.007136818181818182</v>
      </c>
      <c r="L90" s="117"/>
      <c r="M90" s="117"/>
      <c r="N90" s="117"/>
      <c r="O90" s="117">
        <v>17305.88</v>
      </c>
      <c r="P90" s="117">
        <f t="shared" si="41"/>
        <v>4694.119999999999</v>
      </c>
      <c r="Q90" s="147">
        <f t="shared" si="42"/>
        <v>1.2712442245063527</v>
      </c>
      <c r="R90" s="117">
        <v>90.12</v>
      </c>
      <c r="S90" s="117">
        <f t="shared" si="38"/>
        <v>66.88999999999999</v>
      </c>
      <c r="T90" s="147">
        <f t="shared" si="39"/>
        <v>1.7422325787838435</v>
      </c>
      <c r="U90" s="107">
        <f t="shared" si="43"/>
        <v>157</v>
      </c>
      <c r="V90" s="110">
        <f t="shared" si="43"/>
        <v>157.01</v>
      </c>
      <c r="W90" s="117">
        <f t="shared" si="44"/>
        <v>0.009999999999990905</v>
      </c>
      <c r="X90" s="147">
        <f>V90/U90</f>
        <v>1.0000636942675158</v>
      </c>
      <c r="Y90" s="199">
        <f t="shared" si="37"/>
        <v>0.47098835427749086</v>
      </c>
    </row>
    <row r="91" spans="2:25" ht="18">
      <c r="B91" s="20" t="s">
        <v>88</v>
      </c>
      <c r="C91" s="58">
        <v>24110700</v>
      </c>
      <c r="D91" s="255">
        <v>24</v>
      </c>
      <c r="E91" s="125">
        <v>24</v>
      </c>
      <c r="F91" s="125">
        <v>1</v>
      </c>
      <c r="G91" s="126">
        <v>1</v>
      </c>
      <c r="H91" s="112">
        <f t="shared" si="40"/>
        <v>0</v>
      </c>
      <c r="I91" s="213">
        <f>G91/F91</f>
        <v>1</v>
      </c>
      <c r="J91" s="117">
        <f t="shared" si="45"/>
        <v>-23</v>
      </c>
      <c r="K91" s="147">
        <f>G91/E91</f>
        <v>0.041666666666666664</v>
      </c>
      <c r="L91" s="117"/>
      <c r="M91" s="117"/>
      <c r="N91" s="117"/>
      <c r="O91" s="117">
        <v>20</v>
      </c>
      <c r="P91" s="117">
        <f t="shared" si="41"/>
        <v>4</v>
      </c>
      <c r="Q91" s="147">
        <f t="shared" si="42"/>
        <v>1.2</v>
      </c>
      <c r="R91" s="117">
        <v>1</v>
      </c>
      <c r="S91" s="117">
        <f t="shared" si="38"/>
        <v>0</v>
      </c>
      <c r="T91" s="147">
        <f t="shared" si="39"/>
        <v>1</v>
      </c>
      <c r="U91" s="107">
        <f t="shared" si="43"/>
        <v>1</v>
      </c>
      <c r="V91" s="110">
        <f t="shared" si="43"/>
        <v>1</v>
      </c>
      <c r="W91" s="117">
        <f t="shared" si="44"/>
        <v>0</v>
      </c>
      <c r="X91" s="147">
        <f>V91/U91</f>
        <v>1</v>
      </c>
      <c r="Y91" s="199">
        <f t="shared" si="37"/>
        <v>-0.19999999999999996</v>
      </c>
    </row>
    <row r="92" spans="2:25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979.429</v>
      </c>
      <c r="G92" s="128">
        <f>G88+G89+G90+G91</f>
        <v>979.4399999999999</v>
      </c>
      <c r="H92" s="129">
        <f t="shared" si="40"/>
        <v>0.010999999999967258</v>
      </c>
      <c r="I92" s="216">
        <f>G92/F92</f>
        <v>1.000011231033592</v>
      </c>
      <c r="J92" s="131">
        <f t="shared" si="45"/>
        <v>-42493.56</v>
      </c>
      <c r="K92" s="151">
        <f>G92/E92</f>
        <v>0.022529846111379474</v>
      </c>
      <c r="L92" s="131"/>
      <c r="M92" s="131"/>
      <c r="N92" s="131"/>
      <c r="O92" s="131">
        <v>26407.66</v>
      </c>
      <c r="P92" s="131">
        <f t="shared" si="41"/>
        <v>17065.34</v>
      </c>
      <c r="Q92" s="151">
        <f t="shared" si="42"/>
        <v>1.6462268902280626</v>
      </c>
      <c r="R92" s="131">
        <v>93.06</v>
      </c>
      <c r="S92" s="117">
        <f t="shared" si="38"/>
        <v>886.3799999999999</v>
      </c>
      <c r="T92" s="147">
        <f t="shared" si="39"/>
        <v>10.52482269503546</v>
      </c>
      <c r="U92" s="129">
        <f>U88+U89+U90+U91</f>
        <v>979.429</v>
      </c>
      <c r="V92" s="133">
        <f>V88+V89+V90+V91</f>
        <v>979.4399999999999</v>
      </c>
      <c r="W92" s="131">
        <f t="shared" si="44"/>
        <v>0.010999999999967258</v>
      </c>
      <c r="X92" s="151">
        <f>V92/U92</f>
        <v>1.000011231033592</v>
      </c>
      <c r="Y92" s="199">
        <f t="shared" si="37"/>
        <v>8.878595804807398</v>
      </c>
    </row>
    <row r="93" spans="2:25" ht="46.5">
      <c r="B93" s="12" t="s">
        <v>35</v>
      </c>
      <c r="C93" s="60">
        <v>24062100</v>
      </c>
      <c r="D93" s="256">
        <v>43</v>
      </c>
      <c r="E93" s="125">
        <v>43</v>
      </c>
      <c r="F93" s="125">
        <v>0</v>
      </c>
      <c r="G93" s="126">
        <v>0.01</v>
      </c>
      <c r="H93" s="112">
        <f t="shared" si="40"/>
        <v>0.01</v>
      </c>
      <c r="I93" s="213"/>
      <c r="J93" s="117">
        <f t="shared" si="45"/>
        <v>-42.99</v>
      </c>
      <c r="K93" s="147"/>
      <c r="L93" s="117"/>
      <c r="M93" s="117"/>
      <c r="N93" s="117"/>
      <c r="O93" s="117">
        <v>49.17</v>
      </c>
      <c r="P93" s="117">
        <f t="shared" si="41"/>
        <v>-6.170000000000002</v>
      </c>
      <c r="Q93" s="147">
        <f t="shared" si="42"/>
        <v>0.8745169818995322</v>
      </c>
      <c r="R93" s="117">
        <v>0</v>
      </c>
      <c r="S93" s="117">
        <f t="shared" si="38"/>
        <v>0.01</v>
      </c>
      <c r="T93" s="147" t="e">
        <f t="shared" si="39"/>
        <v>#DIV/0!</v>
      </c>
      <c r="U93" s="107">
        <f aca="true" t="shared" si="46" ref="U93:V96">F93</f>
        <v>0</v>
      </c>
      <c r="V93" s="110">
        <f t="shared" si="46"/>
        <v>0.01</v>
      </c>
      <c r="W93" s="117">
        <f t="shared" si="44"/>
        <v>0.01</v>
      </c>
      <c r="X93" s="147"/>
      <c r="Y93" s="199" t="e">
        <f t="shared" si="37"/>
        <v>#DIV/0!</v>
      </c>
    </row>
    <row r="94" spans="2:25" ht="18" hidden="1">
      <c r="B94" s="166" t="s">
        <v>47</v>
      </c>
      <c r="C94" s="58">
        <v>24061600</v>
      </c>
      <c r="D94" s="255"/>
      <c r="E94" s="125"/>
      <c r="F94" s="125">
        <f>E94</f>
        <v>0</v>
      </c>
      <c r="G94" s="126">
        <v>0</v>
      </c>
      <c r="H94" s="112">
        <f t="shared" si="40"/>
        <v>0</v>
      </c>
      <c r="I94" s="213"/>
      <c r="J94" s="117">
        <f t="shared" si="45"/>
        <v>0</v>
      </c>
      <c r="K94" s="224"/>
      <c r="L94" s="134"/>
      <c r="M94" s="134"/>
      <c r="N94" s="134"/>
      <c r="O94" s="134"/>
      <c r="P94" s="117">
        <f t="shared" si="41"/>
        <v>0</v>
      </c>
      <c r="Q94" s="147" t="e">
        <f t="shared" si="42"/>
        <v>#DIV/0!</v>
      </c>
      <c r="R94" s="117">
        <f>O94</f>
        <v>0</v>
      </c>
      <c r="S94" s="117">
        <f t="shared" si="38"/>
        <v>0</v>
      </c>
      <c r="T94" s="147" t="e">
        <f t="shared" si="39"/>
        <v>#DIV/0!</v>
      </c>
      <c r="U94" s="107">
        <f t="shared" si="46"/>
        <v>0</v>
      </c>
      <c r="V94" s="110">
        <f t="shared" si="46"/>
        <v>0</v>
      </c>
      <c r="W94" s="117">
        <f t="shared" si="44"/>
        <v>0</v>
      </c>
      <c r="X94" s="224"/>
      <c r="Y94" s="199" t="e">
        <f t="shared" si="37"/>
        <v>#DIV/0!</v>
      </c>
    </row>
    <row r="95" spans="2:25" ht="18">
      <c r="B95" s="20" t="s">
        <v>41</v>
      </c>
      <c r="C95" s="58">
        <v>19010000</v>
      </c>
      <c r="D95" s="255">
        <v>9050</v>
      </c>
      <c r="E95" s="125">
        <v>9050</v>
      </c>
      <c r="F95" s="125">
        <v>462.75</v>
      </c>
      <c r="G95" s="126">
        <v>463.24</v>
      </c>
      <c r="H95" s="112">
        <f t="shared" si="40"/>
        <v>0.4900000000000091</v>
      </c>
      <c r="I95" s="213">
        <f>G95/F95</f>
        <v>1.0010588870880606</v>
      </c>
      <c r="J95" s="117">
        <f t="shared" si="45"/>
        <v>-8586.76</v>
      </c>
      <c r="K95" s="147">
        <f>G95/E95</f>
        <v>0.05118674033149171</v>
      </c>
      <c r="L95" s="117"/>
      <c r="M95" s="117"/>
      <c r="N95" s="117"/>
      <c r="O95" s="117">
        <v>8033.94</v>
      </c>
      <c r="P95" s="117">
        <f t="shared" si="41"/>
        <v>1016.0600000000004</v>
      </c>
      <c r="Q95" s="147">
        <f t="shared" si="42"/>
        <v>1.1264709470073215</v>
      </c>
      <c r="R95" s="117">
        <v>11.48</v>
      </c>
      <c r="S95" s="117">
        <f t="shared" si="38"/>
        <v>451.76</v>
      </c>
      <c r="T95" s="147">
        <f t="shared" si="39"/>
        <v>40.35191637630662</v>
      </c>
      <c r="U95" s="107">
        <f t="shared" si="46"/>
        <v>462.75</v>
      </c>
      <c r="V95" s="110">
        <f t="shared" si="46"/>
        <v>463.24</v>
      </c>
      <c r="W95" s="117">
        <f t="shared" si="44"/>
        <v>0.4900000000000091</v>
      </c>
      <c r="X95" s="147">
        <f>V95/U95</f>
        <v>1.0010588870880606</v>
      </c>
      <c r="Y95" s="199">
        <f t="shared" si="37"/>
        <v>39.2254454292993</v>
      </c>
    </row>
    <row r="96" spans="2:25" ht="31.5" hidden="1">
      <c r="B96" s="20" t="s">
        <v>45</v>
      </c>
      <c r="C96" s="58">
        <v>19050000</v>
      </c>
      <c r="D96" s="255"/>
      <c r="E96" s="125">
        <v>0</v>
      </c>
      <c r="F96" s="125">
        <v>0</v>
      </c>
      <c r="G96" s="126">
        <v>0</v>
      </c>
      <c r="H96" s="112">
        <f t="shared" si="40"/>
        <v>0</v>
      </c>
      <c r="I96" s="213"/>
      <c r="J96" s="117">
        <f t="shared" si="45"/>
        <v>0</v>
      </c>
      <c r="K96" s="147"/>
      <c r="L96" s="117"/>
      <c r="M96" s="117"/>
      <c r="N96" s="117"/>
      <c r="O96" s="117">
        <v>0.1</v>
      </c>
      <c r="P96" s="117">
        <f t="shared" si="41"/>
        <v>-0.1</v>
      </c>
      <c r="Q96" s="147">
        <f t="shared" si="42"/>
        <v>0</v>
      </c>
      <c r="R96" s="117">
        <v>0</v>
      </c>
      <c r="S96" s="117">
        <f t="shared" si="38"/>
        <v>0</v>
      </c>
      <c r="T96" s="147" t="e">
        <f t="shared" si="39"/>
        <v>#DIV/0!</v>
      </c>
      <c r="U96" s="107">
        <f t="shared" si="46"/>
        <v>0</v>
      </c>
      <c r="V96" s="110">
        <f t="shared" si="46"/>
        <v>0</v>
      </c>
      <c r="W96" s="117">
        <f t="shared" si="44"/>
        <v>0</v>
      </c>
      <c r="X96" s="224"/>
      <c r="Y96" s="199" t="e">
        <f t="shared" si="37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462.75</v>
      </c>
      <c r="G97" s="128">
        <f>G93+G96+G94+G95</f>
        <v>463.25</v>
      </c>
      <c r="H97" s="129">
        <f t="shared" si="40"/>
        <v>0.5</v>
      </c>
      <c r="I97" s="216">
        <f>G97/F97</f>
        <v>1.001080497028633</v>
      </c>
      <c r="J97" s="131">
        <f t="shared" si="45"/>
        <v>-8629.75</v>
      </c>
      <c r="K97" s="151">
        <f>G97/E97</f>
        <v>0.05094578247003189</v>
      </c>
      <c r="L97" s="131"/>
      <c r="M97" s="131"/>
      <c r="N97" s="131"/>
      <c r="O97" s="131">
        <v>8083.21</v>
      </c>
      <c r="P97" s="131">
        <f t="shared" si="41"/>
        <v>1009.79</v>
      </c>
      <c r="Q97" s="151">
        <f t="shared" si="42"/>
        <v>1.1249243802895137</v>
      </c>
      <c r="R97" s="131">
        <v>11.82</v>
      </c>
      <c r="S97" s="117">
        <f t="shared" si="38"/>
        <v>451.43</v>
      </c>
      <c r="T97" s="147">
        <f t="shared" si="39"/>
        <v>39.19204737732657</v>
      </c>
      <c r="U97" s="129">
        <f>U93+U96+U94+U95</f>
        <v>462.75</v>
      </c>
      <c r="V97" s="133">
        <f>V93+V96+V94+V95</f>
        <v>463.25</v>
      </c>
      <c r="W97" s="131">
        <f t="shared" si="44"/>
        <v>0.5</v>
      </c>
      <c r="X97" s="151">
        <f>V97/U97</f>
        <v>1.001080497028633</v>
      </c>
      <c r="Y97" s="199">
        <f t="shared" si="37"/>
        <v>38.06712299703705</v>
      </c>
    </row>
    <row r="98" spans="2:25" ht="30.75">
      <c r="B98" s="12" t="s">
        <v>36</v>
      </c>
      <c r="C98" s="34">
        <v>24110900</v>
      </c>
      <c r="D98" s="228">
        <v>19.413</v>
      </c>
      <c r="E98" s="125">
        <v>19.413</v>
      </c>
      <c r="F98" s="125">
        <v>1.69558</v>
      </c>
      <c r="G98" s="126">
        <v>1.7</v>
      </c>
      <c r="H98" s="112">
        <f t="shared" si="40"/>
        <v>0.0044199999999998685</v>
      </c>
      <c r="I98" s="213">
        <f>G98/F98</f>
        <v>1.0026067776218166</v>
      </c>
      <c r="J98" s="117">
        <f t="shared" si="45"/>
        <v>-17.713</v>
      </c>
      <c r="K98" s="147">
        <f>G98/E98</f>
        <v>0.08757018492762582</v>
      </c>
      <c r="L98" s="117"/>
      <c r="M98" s="117"/>
      <c r="N98" s="117"/>
      <c r="O98" s="117">
        <v>37.96</v>
      </c>
      <c r="P98" s="117">
        <f t="shared" si="41"/>
        <v>-18.547</v>
      </c>
      <c r="Q98" s="147">
        <f t="shared" si="42"/>
        <v>0.5114067439409905</v>
      </c>
      <c r="R98" s="131">
        <v>0.34</v>
      </c>
      <c r="S98" s="117">
        <f t="shared" si="38"/>
        <v>1.3599999999999999</v>
      </c>
      <c r="T98" s="147">
        <f t="shared" si="39"/>
        <v>4.999999999999999</v>
      </c>
      <c r="U98" s="107">
        <f>F98</f>
        <v>1.69558</v>
      </c>
      <c r="V98" s="110">
        <f>G98</f>
        <v>1.7</v>
      </c>
      <c r="W98" s="117">
        <f t="shared" si="44"/>
        <v>0.0044199999999998685</v>
      </c>
      <c r="X98" s="147">
        <f>V98/U98</f>
        <v>1.0026067776218166</v>
      </c>
      <c r="Y98" s="199">
        <f t="shared" si="37"/>
        <v>4.4885932560590085</v>
      </c>
    </row>
    <row r="99" spans="2:25" ht="18" hidden="1">
      <c r="B99" s="83"/>
      <c r="C99" s="34">
        <v>21110000</v>
      </c>
      <c r="D99" s="34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9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9">
        <f t="shared" si="37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1443.8745800000002</v>
      </c>
      <c r="G100" s="183">
        <f>G86+G87+G92+G97+G98</f>
        <v>1444.3999999999999</v>
      </c>
      <c r="H100" s="184">
        <f>G100-F100</f>
        <v>0.5254199999997127</v>
      </c>
      <c r="I100" s="217">
        <f>G100/F100</f>
        <v>1.0003638958724514</v>
      </c>
      <c r="J100" s="177">
        <f>G100-E100</f>
        <v>-51141.013</v>
      </c>
      <c r="K100" s="178">
        <f>G100/E100</f>
        <v>0.02746769336964226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1327.37</v>
      </c>
      <c r="T100" s="178">
        <f t="shared" si="39"/>
        <v>12.342134495428521</v>
      </c>
      <c r="U100" s="183">
        <f>U86+U87+U92+U97+U98</f>
        <v>1443.8745800000002</v>
      </c>
      <c r="V100" s="183">
        <f>V86+V87+V92+V97+V98</f>
        <v>1444.3999999999999</v>
      </c>
      <c r="W100" s="177">
        <f>V100-U100</f>
        <v>0.5254199999997127</v>
      </c>
      <c r="X100" s="178">
        <f>V100/U100</f>
        <v>1.0003638958724514</v>
      </c>
      <c r="Y100" s="199">
        <f t="shared" si="37"/>
        <v>10.820643755804943</v>
      </c>
    </row>
    <row r="101" spans="2:25" ht="17.25">
      <c r="B101" s="185" t="s">
        <v>103</v>
      </c>
      <c r="C101" s="182"/>
      <c r="D101" s="183">
        <f>D79+D100</f>
        <v>1680503.113</v>
      </c>
      <c r="E101" s="183">
        <f>E79+E100</f>
        <v>1680503.113</v>
      </c>
      <c r="F101" s="183">
        <f>F79+F100</f>
        <v>116722.42358</v>
      </c>
      <c r="G101" s="183">
        <f>G79+G100</f>
        <v>116722.93999999999</v>
      </c>
      <c r="H101" s="184">
        <f>G101-F101</f>
        <v>0.5164199999853736</v>
      </c>
      <c r="I101" s="217">
        <f>G101/F101</f>
        <v>1.000004424342677</v>
      </c>
      <c r="J101" s="177">
        <f>G101-E101</f>
        <v>-1563780.173</v>
      </c>
      <c r="K101" s="178">
        <f>G101/E101</f>
        <v>0.06945714000590489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98203.20999999999</v>
      </c>
      <c r="S101" s="177">
        <f>S79+S100</f>
        <v>18519.73</v>
      </c>
      <c r="T101" s="178">
        <f t="shared" si="39"/>
        <v>1.1885857906274142</v>
      </c>
      <c r="U101" s="184">
        <f>U79+U100</f>
        <v>116722.42358</v>
      </c>
      <c r="V101" s="184">
        <f>V79+V100</f>
        <v>116722.93999999999</v>
      </c>
      <c r="W101" s="177">
        <f>V101-U101</f>
        <v>0.5164199999853736</v>
      </c>
      <c r="X101" s="178">
        <f>V101/U101</f>
        <v>1.000004424342677</v>
      </c>
      <c r="Y101" s="199">
        <f t="shared" si="37"/>
        <v>0.016325691363779926</v>
      </c>
    </row>
    <row r="102" spans="2:25" ht="15">
      <c r="B102" s="258" t="s">
        <v>142</v>
      </c>
      <c r="D102" s="4"/>
      <c r="F102" s="78"/>
      <c r="G102" s="4"/>
      <c r="Y102" s="199"/>
    </row>
    <row r="103" spans="2:25" ht="15">
      <c r="B103" s="4" t="s">
        <v>143</v>
      </c>
      <c r="C103" s="259">
        <v>0</v>
      </c>
      <c r="D103" s="4" t="s">
        <v>144</v>
      </c>
      <c r="F103" s="78"/>
      <c r="G103" s="4"/>
      <c r="Y103" s="199"/>
    </row>
    <row r="104" spans="2:25" ht="30.75">
      <c r="B104" s="261" t="s">
        <v>145</v>
      </c>
      <c r="C104" s="262" t="e">
        <f>IF(W79&lt;0,ABS(W79/C103),0)</f>
        <v>#DIV/0!</v>
      </c>
      <c r="D104" s="4" t="s">
        <v>24</v>
      </c>
      <c r="F104" s="78"/>
      <c r="G104" s="262" t="e">
        <f>IF(H79&lt;0,ABS(H79/C103),0)</f>
        <v>#DIV/0!</v>
      </c>
      <c r="H104" s="263"/>
      <c r="I104" s="263"/>
      <c r="J104" s="263"/>
      <c r="V104" s="262" t="e">
        <f>IF(W79&lt;0,ABS(W79/C103),0)</f>
        <v>#DIV/0!</v>
      </c>
      <c r="Y104" s="199"/>
    </row>
    <row r="105" spans="2:25" ht="30.75">
      <c r="B105" s="264" t="s">
        <v>146</v>
      </c>
      <c r="C105" s="265">
        <v>43129</v>
      </c>
      <c r="D105" s="262"/>
      <c r="E105" s="262">
        <v>2330.8</v>
      </c>
      <c r="F105" s="78"/>
      <c r="G105" s="4" t="s">
        <v>147</v>
      </c>
      <c r="Y105" s="199"/>
    </row>
    <row r="106" spans="3:25" ht="15">
      <c r="C106" s="265">
        <v>43130</v>
      </c>
      <c r="D106" s="262"/>
      <c r="E106" s="262">
        <v>15629.9</v>
      </c>
      <c r="F106" s="78"/>
      <c r="G106" s="387"/>
      <c r="H106" s="387"/>
      <c r="I106" s="267"/>
      <c r="J106" s="268"/>
      <c r="Y106" s="199"/>
    </row>
    <row r="107" spans="3:25" ht="15">
      <c r="C107" s="265">
        <v>43131</v>
      </c>
      <c r="D107" s="262"/>
      <c r="E107" s="262">
        <v>15417.7</v>
      </c>
      <c r="F107" s="78"/>
      <c r="G107" s="387"/>
      <c r="H107" s="387"/>
      <c r="I107" s="267"/>
      <c r="J107" s="269"/>
      <c r="Y107" s="199"/>
    </row>
    <row r="108" spans="3:25" ht="15">
      <c r="C108" s="265"/>
      <c r="D108" s="4"/>
      <c r="F108" s="270"/>
      <c r="G108" s="388"/>
      <c r="H108" s="388"/>
      <c r="I108" s="271"/>
      <c r="J108" s="268"/>
      <c r="Y108" s="199"/>
    </row>
    <row r="109" spans="2:25" ht="16.5">
      <c r="B109" s="389" t="s">
        <v>148</v>
      </c>
      <c r="C109" s="389"/>
      <c r="D109" s="272"/>
      <c r="E109" s="272">
        <f>3396166.95/1000</f>
        <v>3396.1669500000003</v>
      </c>
      <c r="F109" s="274" t="s">
        <v>149</v>
      </c>
      <c r="G109" s="387"/>
      <c r="H109" s="387"/>
      <c r="I109" s="275"/>
      <c r="J109" s="268"/>
      <c r="Y109" s="199"/>
    </row>
    <row r="110" spans="4:25" ht="15">
      <c r="D110" s="4"/>
      <c r="F110" s="270"/>
      <c r="G110" s="387"/>
      <c r="H110" s="387"/>
      <c r="I110" s="270"/>
      <c r="J110" s="273"/>
      <c r="Y110" s="199"/>
    </row>
    <row r="111" spans="2:25" ht="15" hidden="1">
      <c r="B111" s="279" t="s">
        <v>150</v>
      </c>
      <c r="D111" s="270">
        <f>D60+D63+D64</f>
        <v>2095</v>
      </c>
      <c r="E111" s="270">
        <f>E60+E63+E64</f>
        <v>2095</v>
      </c>
      <c r="F111" s="270">
        <f>F60+F63+F64</f>
        <v>147.19</v>
      </c>
      <c r="G111" s="325">
        <f>G60+G63+G64</f>
        <v>149.62</v>
      </c>
      <c r="H111" s="270">
        <f>H60+H63+H64</f>
        <v>2.4299999999999975</v>
      </c>
      <c r="I111" s="276">
        <f>G111/F111</f>
        <v>1.0165092737278347</v>
      </c>
      <c r="J111" s="262">
        <f>J60+J63+J64</f>
        <v>-1945.38</v>
      </c>
      <c r="K111" s="163">
        <f>G111/E111</f>
        <v>0.07141766109785203</v>
      </c>
      <c r="L111" s="262">
        <f>L60+L63+L64</f>
        <v>0</v>
      </c>
      <c r="M111" s="262">
        <f>M60+M63+M64</f>
        <v>0</v>
      </c>
      <c r="O111" s="260">
        <f>O60+O63+O64</f>
        <v>1956.6200000000001</v>
      </c>
      <c r="P111" s="260">
        <f>P60+P63+P64</f>
        <v>138.37999999999994</v>
      </c>
      <c r="Q111" s="163">
        <f>E111/O111</f>
        <v>1.0707240036389283</v>
      </c>
      <c r="R111" s="260">
        <f>R60+R63+R64</f>
        <v>133.98000000000002</v>
      </c>
      <c r="S111" s="260">
        <f>S60+S63+S64</f>
        <v>15.639999999999992</v>
      </c>
      <c r="T111" s="163">
        <f>G111/R111</f>
        <v>1.1167338408717717</v>
      </c>
      <c r="U111" s="260">
        <f>U60+U63+U64</f>
        <v>147.19</v>
      </c>
      <c r="V111" s="327">
        <f>V60+V63+V64</f>
        <v>149.62</v>
      </c>
      <c r="W111" s="262">
        <f>W60+W63+W64</f>
        <v>2.4299999999999975</v>
      </c>
      <c r="X111" s="163">
        <f>V111/U111</f>
        <v>1.0165092737278347</v>
      </c>
      <c r="Y111" s="199"/>
    </row>
    <row r="112" spans="4:25" ht="15" hidden="1">
      <c r="D112" s="260"/>
      <c r="F112" s="78"/>
      <c r="G112" s="4"/>
      <c r="I112" s="262"/>
      <c r="Y112" s="199"/>
    </row>
    <row r="113" spans="2:25" ht="15" hidden="1">
      <c r="B113" s="4" t="s">
        <v>162</v>
      </c>
      <c r="D113" s="262">
        <f>D9+D15+D18+D19+D23+D54+D57+D59+D71+D77+D93+D95</f>
        <v>1592543.3</v>
      </c>
      <c r="E113" s="262">
        <f>E9+E15+E18+E19+E23+E54+E57+E59+E71+E77+E93+E95</f>
        <v>1592543.3</v>
      </c>
      <c r="F113" s="262">
        <f>F9+F15+F18+F19+F23+F54+F57+F59+F71+F77+F93+F95</f>
        <v>112496.649</v>
      </c>
      <c r="G113" s="262">
        <f>G9+G15+G18+G19+G23+G54+G57+G59+G71+G77+G93+G95</f>
        <v>112490.61</v>
      </c>
      <c r="H113" s="262">
        <f>H9+H15+H18+H19+H23+H54+H57+H59+H71+H77+H93+H95</f>
        <v>-6.038999999998186</v>
      </c>
      <c r="I113" s="163">
        <f>G113/F113</f>
        <v>0.9999463184010041</v>
      </c>
      <c r="J113" s="163"/>
      <c r="Y113" s="199"/>
    </row>
    <row r="114" spans="2:25" ht="15" hidden="1">
      <c r="B114" s="4" t="s">
        <v>163</v>
      </c>
      <c r="D114" s="262">
        <f>D55+D58+D60+D63+D64+D65+D72+D76+D88+D89+D90+D91+D98</f>
        <v>65675.813</v>
      </c>
      <c r="E114" s="262">
        <f>E55+E58+E60+E63+E64+E65+E72+E76+E88+E89+E90+E91+E98</f>
        <v>65675.813</v>
      </c>
      <c r="F114" s="262">
        <f>F55+F58+F60+F63+F64+F65+F72+F76+F88+F89+F90+F91+F98</f>
        <v>2289.53458</v>
      </c>
      <c r="G114" s="262">
        <f>G55+G58+G60+G63+G64+G65+G72+G76+G88+G89+G90+G91+G98</f>
        <v>2291.9799999999996</v>
      </c>
      <c r="H114" s="262">
        <f>H55+H58+H60+H63+H64+H65+H72+H76+H88+H89+H90+H91+H98</f>
        <v>2.445419999999965</v>
      </c>
      <c r="I114" s="163">
        <f>G114/F114</f>
        <v>1.0010680860736332</v>
      </c>
      <c r="J114" s="163"/>
      <c r="Y114" s="199"/>
    </row>
    <row r="115" spans="2:25" ht="15" hidden="1">
      <c r="B115" s="4" t="s">
        <v>164</v>
      </c>
      <c r="D115" s="262">
        <f>D56+D62+D66+D78</f>
        <v>22284</v>
      </c>
      <c r="E115" s="262">
        <f>E56+E62+E66+E78</f>
        <v>22284</v>
      </c>
      <c r="F115" s="262">
        <f>F56+F62+F66+F78</f>
        <v>1936.24</v>
      </c>
      <c r="G115" s="262">
        <f>G56+G62+G66+G78</f>
        <v>1940.34</v>
      </c>
      <c r="H115" s="262">
        <f>H56+H62+H66+H78</f>
        <v>4.099999999999909</v>
      </c>
      <c r="I115" s="163">
        <f>G115/F115</f>
        <v>1.0021175060942857</v>
      </c>
      <c r="J115" s="163"/>
      <c r="Y115" s="199"/>
    </row>
    <row r="116" spans="2:25" ht="15" hidden="1">
      <c r="B116" s="320" t="s">
        <v>165</v>
      </c>
      <c r="D116" s="329">
        <f>D113+D114+D115</f>
        <v>1680503.1130000001</v>
      </c>
      <c r="E116" s="329">
        <f>E113+E114+E115</f>
        <v>1680503.1130000001</v>
      </c>
      <c r="F116" s="329">
        <f>F113+F114+F115</f>
        <v>116722.42358000002</v>
      </c>
      <c r="G116" s="329">
        <f>G113+G114+G115</f>
        <v>116722.93</v>
      </c>
      <c r="H116" s="329">
        <f>H113+H114+H115</f>
        <v>0.5064200000016879</v>
      </c>
      <c r="I116" s="331">
        <f>G116/F116</f>
        <v>1.0000043386693358</v>
      </c>
      <c r="J116" s="163"/>
      <c r="Y116" s="199"/>
    </row>
    <row r="117" spans="4:25" ht="15" hidden="1">
      <c r="D117" s="262">
        <f>D116-D101</f>
        <v>0</v>
      </c>
      <c r="E117" s="262">
        <f>E116-E101</f>
        <v>0</v>
      </c>
      <c r="F117" s="78">
        <f>F116-F101</f>
        <v>0</v>
      </c>
      <c r="G117" s="262">
        <f>G116-G101</f>
        <v>-0.00999999999476131</v>
      </c>
      <c r="H117" s="262">
        <f>H116-H101</f>
        <v>-0.009999999983685726</v>
      </c>
      <c r="Y117" s="199"/>
    </row>
    <row r="118" spans="2:25" ht="15" hidden="1">
      <c r="B118" s="266"/>
      <c r="D118" s="4"/>
      <c r="E118" s="262"/>
      <c r="F118" s="78"/>
      <c r="G118" s="4"/>
      <c r="Y118" s="199"/>
    </row>
    <row r="119" spans="2:25" ht="15" hidden="1">
      <c r="B119" s="266"/>
      <c r="D119" s="4"/>
      <c r="E119" s="262"/>
      <c r="F119" s="78"/>
      <c r="G119" s="4"/>
      <c r="Y119" s="199"/>
    </row>
    <row r="120" spans="4:25" ht="15" hidden="1">
      <c r="D120" s="4"/>
      <c r="F120" s="78"/>
      <c r="G120" s="4"/>
      <c r="Y120" s="199"/>
    </row>
    <row r="121" spans="2:25" ht="18" hidden="1">
      <c r="B121" s="83" t="s">
        <v>151</v>
      </c>
      <c r="C121" s="34">
        <v>25000000</v>
      </c>
      <c r="D121" s="125">
        <v>90449.655</v>
      </c>
      <c r="E121" s="125">
        <v>90449.655</v>
      </c>
      <c r="F121" s="125">
        <f>E121/12</f>
        <v>7537.47125</v>
      </c>
      <c r="G121" s="323">
        <v>6405.1</v>
      </c>
      <c r="H121" s="114">
        <f>G121-F121</f>
        <v>-1132.3712499999992</v>
      </c>
      <c r="I121" s="147">
        <f aca="true" t="shared" si="47" ref="I121:I128">G121/F121</f>
        <v>0.8497677520163013</v>
      </c>
      <c r="J121" s="117">
        <f>G121-E121</f>
        <v>-84044.555</v>
      </c>
      <c r="K121" s="147">
        <f>G121/E121</f>
        <v>0.07081397933469177</v>
      </c>
      <c r="L121" s="282"/>
      <c r="M121" s="282"/>
      <c r="N121" s="282"/>
      <c r="O121" s="282"/>
      <c r="P121" s="282"/>
      <c r="Q121" s="282"/>
      <c r="R121" s="282"/>
      <c r="S121" s="282"/>
      <c r="T121" s="282"/>
      <c r="U121" s="282"/>
      <c r="V121" s="282"/>
      <c r="W121" s="282"/>
      <c r="X121" s="282"/>
      <c r="Y121" s="199"/>
    </row>
    <row r="122" spans="2:25" ht="17.25" hidden="1">
      <c r="B122" s="344" t="s">
        <v>30</v>
      </c>
      <c r="C122" s="345"/>
      <c r="D122" s="183">
        <f>D121+D100</f>
        <v>143035.068</v>
      </c>
      <c r="E122" s="183">
        <f>E121+E100</f>
        <v>143035.068</v>
      </c>
      <c r="F122" s="183">
        <f>F121+F100</f>
        <v>8981.34583</v>
      </c>
      <c r="G122" s="183">
        <f>G121+G100</f>
        <v>7849.5</v>
      </c>
      <c r="H122" s="183">
        <f>H121+H100</f>
        <v>-1131.8458299999995</v>
      </c>
      <c r="I122" s="178">
        <f t="shared" si="47"/>
        <v>0.8739781485510396</v>
      </c>
      <c r="J122" s="177">
        <f aca="true" t="shared" si="48" ref="J122:J128">G122-E122</f>
        <v>-135185.568</v>
      </c>
      <c r="K122" s="178">
        <f aca="true" t="shared" si="49" ref="K122:K128">G122/E122</f>
        <v>0.054878150580527564</v>
      </c>
      <c r="L122" s="273"/>
      <c r="M122" s="273"/>
      <c r="N122" s="273"/>
      <c r="O122" s="273"/>
      <c r="P122" s="273"/>
      <c r="Q122" s="276"/>
      <c r="R122" s="273"/>
      <c r="S122" s="273"/>
      <c r="T122" s="273"/>
      <c r="U122" s="273"/>
      <c r="V122" s="273"/>
      <c r="W122" s="273"/>
      <c r="X122" s="273"/>
      <c r="Y122" s="199"/>
    </row>
    <row r="123" spans="2:25" ht="17.25" hidden="1">
      <c r="B123" s="346" t="s">
        <v>152</v>
      </c>
      <c r="C123" s="345"/>
      <c r="D123" s="183">
        <f>D101+D121</f>
        <v>1770952.768</v>
      </c>
      <c r="E123" s="183">
        <f>E101+E121</f>
        <v>1770952.768</v>
      </c>
      <c r="F123" s="183">
        <f>F101+F121</f>
        <v>124259.89483</v>
      </c>
      <c r="G123" s="183">
        <f>G101+G121</f>
        <v>123128.04</v>
      </c>
      <c r="H123" s="183">
        <f>H101+H121</f>
        <v>-1131.8548300000139</v>
      </c>
      <c r="I123" s="178">
        <f t="shared" si="47"/>
        <v>0.990891229776522</v>
      </c>
      <c r="J123" s="177">
        <f t="shared" si="48"/>
        <v>-1647824.728</v>
      </c>
      <c r="K123" s="178">
        <f t="shared" si="49"/>
        <v>0.06952643922799413</v>
      </c>
      <c r="L123" s="273"/>
      <c r="M123" s="273"/>
      <c r="N123" s="273"/>
      <c r="O123" s="273"/>
      <c r="P123" s="273"/>
      <c r="Q123" s="276"/>
      <c r="R123" s="273"/>
      <c r="S123" s="273"/>
      <c r="T123" s="273"/>
      <c r="U123" s="273"/>
      <c r="V123" s="273"/>
      <c r="W123" s="273"/>
      <c r="X123" s="273"/>
      <c r="Y123" s="199"/>
    </row>
    <row r="124" spans="2:25" ht="18" hidden="1">
      <c r="B124" s="286" t="s">
        <v>153</v>
      </c>
      <c r="C124" s="287">
        <v>40000000</v>
      </c>
      <c r="D124" s="288">
        <v>1499675.2</v>
      </c>
      <c r="E124" s="288">
        <v>1499675.2</v>
      </c>
      <c r="F124" s="288">
        <v>164550.67</v>
      </c>
      <c r="G124" s="323">
        <v>157946.6</v>
      </c>
      <c r="H124" s="288">
        <f>G124-F124</f>
        <v>-6604.070000000007</v>
      </c>
      <c r="I124" s="147">
        <f t="shared" si="47"/>
        <v>0.9598660400471174</v>
      </c>
      <c r="J124" s="117">
        <f t="shared" si="48"/>
        <v>-1341728.5999999999</v>
      </c>
      <c r="K124" s="147">
        <f t="shared" si="49"/>
        <v>0.10532053874065532</v>
      </c>
      <c r="L124" s="273"/>
      <c r="M124" s="273"/>
      <c r="N124" s="273"/>
      <c r="O124" s="273"/>
      <c r="P124" s="273"/>
      <c r="Q124" s="276"/>
      <c r="R124" s="273"/>
      <c r="S124" s="273"/>
      <c r="T124" s="273"/>
      <c r="U124" s="273"/>
      <c r="V124" s="273"/>
      <c r="W124" s="273"/>
      <c r="X124" s="273"/>
      <c r="Y124" s="199"/>
    </row>
    <row r="125" spans="2:25" ht="27" hidden="1">
      <c r="B125" s="340" t="s">
        <v>169</v>
      </c>
      <c r="C125" s="341">
        <v>41033900</v>
      </c>
      <c r="D125" s="342">
        <v>249086.1</v>
      </c>
      <c r="E125" s="342">
        <v>249086.1</v>
      </c>
      <c r="F125" s="342">
        <v>19179.6</v>
      </c>
      <c r="G125" s="347">
        <v>19179.6</v>
      </c>
      <c r="H125" s="342">
        <f>G125-F125</f>
        <v>0</v>
      </c>
      <c r="I125" s="152">
        <f t="shared" si="47"/>
        <v>1</v>
      </c>
      <c r="J125" s="116">
        <f t="shared" si="48"/>
        <v>-229906.5</v>
      </c>
      <c r="K125" s="152">
        <f t="shared" si="49"/>
        <v>0.07699988076412131</v>
      </c>
      <c r="L125" s="273"/>
      <c r="M125" s="273"/>
      <c r="N125" s="273"/>
      <c r="O125" s="273"/>
      <c r="P125" s="273"/>
      <c r="Q125" s="276"/>
      <c r="R125" s="273"/>
      <c r="S125" s="273"/>
      <c r="T125" s="273"/>
      <c r="U125" s="273"/>
      <c r="V125" s="273"/>
      <c r="W125" s="273"/>
      <c r="X125" s="273"/>
      <c r="Y125" s="199"/>
    </row>
    <row r="126" spans="2:25" ht="27" hidden="1">
      <c r="B126" s="340" t="s">
        <v>170</v>
      </c>
      <c r="C126" s="341">
        <v>41034200</v>
      </c>
      <c r="D126" s="342">
        <v>226186</v>
      </c>
      <c r="E126" s="342">
        <v>226186</v>
      </c>
      <c r="F126" s="342">
        <v>22003</v>
      </c>
      <c r="G126" s="347">
        <v>22003</v>
      </c>
      <c r="H126" s="342">
        <f>G126-F126</f>
        <v>0</v>
      </c>
      <c r="I126" s="152">
        <f t="shared" si="47"/>
        <v>1</v>
      </c>
      <c r="J126" s="116">
        <f t="shared" si="48"/>
        <v>-204183</v>
      </c>
      <c r="K126" s="152">
        <f t="shared" si="49"/>
        <v>0.09727834613990256</v>
      </c>
      <c r="L126" s="273"/>
      <c r="M126" s="273"/>
      <c r="N126" s="273"/>
      <c r="O126" s="273"/>
      <c r="P126" s="273"/>
      <c r="Q126" s="276"/>
      <c r="R126" s="273"/>
      <c r="S126" s="273"/>
      <c r="T126" s="273"/>
      <c r="U126" s="273"/>
      <c r="V126" s="273"/>
      <c r="W126" s="273"/>
      <c r="X126" s="273"/>
      <c r="Y126" s="199"/>
    </row>
    <row r="127" spans="2:25" ht="18" hidden="1">
      <c r="B127" s="286" t="s">
        <v>166</v>
      </c>
      <c r="C127" s="287"/>
      <c r="D127" s="288">
        <v>0</v>
      </c>
      <c r="E127" s="288">
        <v>0</v>
      </c>
      <c r="F127" s="288">
        <v>0</v>
      </c>
      <c r="G127" s="323">
        <v>0</v>
      </c>
      <c r="H127" s="288">
        <f>G127-F127</f>
        <v>0</v>
      </c>
      <c r="I127" s="147" t="e">
        <f t="shared" si="47"/>
        <v>#DIV/0!</v>
      </c>
      <c r="J127" s="117">
        <f>G127-E127</f>
        <v>0</v>
      </c>
      <c r="K127" s="147" t="e">
        <f>G127/E127</f>
        <v>#DIV/0!</v>
      </c>
      <c r="L127" s="273"/>
      <c r="M127" s="273"/>
      <c r="N127" s="273"/>
      <c r="O127" s="273"/>
      <c r="P127" s="273"/>
      <c r="Q127" s="276"/>
      <c r="R127" s="273"/>
      <c r="S127" s="273"/>
      <c r="T127" s="273"/>
      <c r="U127" s="273"/>
      <c r="V127" s="273"/>
      <c r="W127" s="273"/>
      <c r="X127" s="273"/>
      <c r="Y127" s="199"/>
    </row>
    <row r="128" spans="2:25" ht="18" hidden="1">
      <c r="B128" s="289" t="s">
        <v>154</v>
      </c>
      <c r="C128" s="290"/>
      <c r="D128" s="291">
        <f>D123+D124+D127</f>
        <v>3270627.968</v>
      </c>
      <c r="E128" s="291">
        <f>E123+E124+E127</f>
        <v>3270627.968</v>
      </c>
      <c r="F128" s="291">
        <f>F123+F124+F127</f>
        <v>288810.56483000005</v>
      </c>
      <c r="G128" s="291">
        <f>G123+G124+G127</f>
        <v>281074.64</v>
      </c>
      <c r="H128" s="291">
        <f>G128-F128</f>
        <v>-7735.924830000033</v>
      </c>
      <c r="I128" s="178">
        <f t="shared" si="47"/>
        <v>0.9732145365438638</v>
      </c>
      <c r="J128" s="177">
        <f t="shared" si="48"/>
        <v>-2989553.3279999997</v>
      </c>
      <c r="K128" s="178">
        <f t="shared" si="49"/>
        <v>0.0859390437402387</v>
      </c>
      <c r="L128" s="273"/>
      <c r="M128" s="273"/>
      <c r="N128" s="273"/>
      <c r="O128" s="273"/>
      <c r="P128" s="273"/>
      <c r="Q128" s="276"/>
      <c r="R128" s="273"/>
      <c r="S128" s="273"/>
      <c r="T128" s="273"/>
      <c r="U128" s="273"/>
      <c r="V128" s="273"/>
      <c r="W128" s="273"/>
      <c r="X128" s="273"/>
      <c r="Y128" s="199"/>
    </row>
    <row r="129" spans="4:25" ht="15" hidden="1">
      <c r="D129" s="4"/>
      <c r="F129" s="78"/>
      <c r="G129" s="4"/>
      <c r="Y129" s="199"/>
    </row>
    <row r="130" spans="4:25" ht="15" hidden="1">
      <c r="D130" s="4"/>
      <c r="F130" s="78"/>
      <c r="G130" s="4"/>
      <c r="Y130" s="199"/>
    </row>
    <row r="131" spans="4:25" ht="15" hidden="1">
      <c r="D131" s="4"/>
      <c r="F131" s="78"/>
      <c r="G131" s="262"/>
      <c r="Y131" s="199"/>
    </row>
    <row r="132" spans="4:25" ht="15" hidden="1">
      <c r="D132" s="4"/>
      <c r="F132" s="78"/>
      <c r="G132" s="4"/>
      <c r="Y132" s="199"/>
    </row>
    <row r="133" spans="4:25" ht="15" hidden="1">
      <c r="D133" s="4"/>
      <c r="F133" s="78"/>
      <c r="G133" s="4"/>
      <c r="Y133" s="199"/>
    </row>
    <row r="134" spans="4:25" ht="15" hidden="1">
      <c r="D134" s="4"/>
      <c r="F134" s="78"/>
      <c r="G134" s="4"/>
      <c r="Y134" s="199"/>
    </row>
    <row r="135" spans="2:25" ht="15" hidden="1">
      <c r="B135" s="292" t="s">
        <v>155</v>
      </c>
      <c r="D135" s="4"/>
      <c r="F135" s="78"/>
      <c r="G135" s="4"/>
      <c r="Y135" s="199"/>
    </row>
    <row r="136" spans="2:25" ht="30.75" hidden="1">
      <c r="B136" s="293" t="s">
        <v>156</v>
      </c>
      <c r="C136" s="294">
        <v>13010200</v>
      </c>
      <c r="D136" s="295">
        <f>D17</f>
        <v>0</v>
      </c>
      <c r="E136" s="295">
        <f aca="true" t="shared" si="50" ref="E136:X136">E17</f>
        <v>0</v>
      </c>
      <c r="F136" s="295">
        <f t="shared" si="50"/>
        <v>0</v>
      </c>
      <c r="G136" s="296">
        <f t="shared" si="50"/>
        <v>0</v>
      </c>
      <c r="H136" s="295">
        <f t="shared" si="50"/>
        <v>0</v>
      </c>
      <c r="I136" s="315">
        <f t="shared" si="50"/>
        <v>0</v>
      </c>
      <c r="J136" s="295">
        <f t="shared" si="50"/>
        <v>0</v>
      </c>
      <c r="K136" s="315">
        <f t="shared" si="50"/>
        <v>0</v>
      </c>
      <c r="L136" s="295">
        <f t="shared" si="50"/>
        <v>0</v>
      </c>
      <c r="M136" s="295">
        <f t="shared" si="50"/>
        <v>0</v>
      </c>
      <c r="N136" s="295">
        <f t="shared" si="50"/>
        <v>0</v>
      </c>
      <c r="O136" s="295">
        <f t="shared" si="50"/>
        <v>0.49</v>
      </c>
      <c r="P136" s="295">
        <f t="shared" si="50"/>
        <v>-0.49</v>
      </c>
      <c r="Q136" s="315">
        <f t="shared" si="50"/>
        <v>0</v>
      </c>
      <c r="R136" s="295">
        <f t="shared" si="50"/>
        <v>0</v>
      </c>
      <c r="S136" s="295">
        <f t="shared" si="50"/>
        <v>0</v>
      </c>
      <c r="T136" s="315" t="e">
        <f t="shared" si="50"/>
        <v>#DIV/0!</v>
      </c>
      <c r="U136" s="295">
        <f t="shared" si="50"/>
        <v>0</v>
      </c>
      <c r="V136" s="295">
        <f t="shared" si="50"/>
        <v>0</v>
      </c>
      <c r="W136" s="295">
        <f t="shared" si="50"/>
        <v>0</v>
      </c>
      <c r="X136" s="315">
        <f t="shared" si="50"/>
        <v>0</v>
      </c>
      <c r="Y136" s="199" t="e">
        <f aca="true" t="shared" si="51" ref="Y136:Y159">T136-Q136</f>
        <v>#DIV/0!</v>
      </c>
    </row>
    <row r="137" spans="2:25" ht="30.75" hidden="1">
      <c r="B137" s="297" t="s">
        <v>157</v>
      </c>
      <c r="C137" s="294">
        <v>13030200</v>
      </c>
      <c r="D137" s="295">
        <f>D18</f>
        <v>235.6</v>
      </c>
      <c r="E137" s="295">
        <f aca="true" t="shared" si="52" ref="E137:X137">E18</f>
        <v>235.6</v>
      </c>
      <c r="F137" s="295">
        <f t="shared" si="52"/>
        <v>0</v>
      </c>
      <c r="G137" s="296">
        <f t="shared" si="52"/>
        <v>0</v>
      </c>
      <c r="H137" s="295">
        <f t="shared" si="52"/>
        <v>0</v>
      </c>
      <c r="I137" s="315" t="e">
        <f t="shared" si="52"/>
        <v>#DIV/0!</v>
      </c>
      <c r="J137" s="295">
        <f t="shared" si="52"/>
        <v>-235.6</v>
      </c>
      <c r="K137" s="315">
        <f t="shared" si="52"/>
        <v>0</v>
      </c>
      <c r="L137" s="295">
        <f t="shared" si="52"/>
        <v>0</v>
      </c>
      <c r="M137" s="295">
        <f t="shared" si="52"/>
        <v>0</v>
      </c>
      <c r="N137" s="295">
        <f t="shared" si="52"/>
        <v>0</v>
      </c>
      <c r="O137" s="295">
        <f t="shared" si="52"/>
        <v>220.59</v>
      </c>
      <c r="P137" s="295">
        <f t="shared" si="52"/>
        <v>15.009999999999991</v>
      </c>
      <c r="Q137" s="315">
        <f t="shared" si="52"/>
        <v>1.0680447889750215</v>
      </c>
      <c r="R137" s="295">
        <f t="shared" si="52"/>
        <v>0</v>
      </c>
      <c r="S137" s="295">
        <f t="shared" si="52"/>
        <v>0</v>
      </c>
      <c r="T137" s="315" t="e">
        <f t="shared" si="52"/>
        <v>#DIV/0!</v>
      </c>
      <c r="U137" s="295">
        <f t="shared" si="52"/>
        <v>0</v>
      </c>
      <c r="V137" s="295">
        <f t="shared" si="52"/>
        <v>0</v>
      </c>
      <c r="W137" s="295">
        <f t="shared" si="52"/>
        <v>0</v>
      </c>
      <c r="X137" s="315" t="e">
        <f t="shared" si="52"/>
        <v>#DIV/0!</v>
      </c>
      <c r="Y137" s="199" t="e">
        <f t="shared" si="51"/>
        <v>#DIV/0!</v>
      </c>
    </row>
    <row r="138" spans="2:25" ht="15" hidden="1">
      <c r="B138" s="298" t="s">
        <v>51</v>
      </c>
      <c r="C138" s="299">
        <v>21080500</v>
      </c>
      <c r="D138" s="300">
        <f>D56</f>
        <v>158</v>
      </c>
      <c r="E138" s="300">
        <f aca="true" t="shared" si="53" ref="E138:X138">E56</f>
        <v>158</v>
      </c>
      <c r="F138" s="300">
        <f t="shared" si="53"/>
        <v>0</v>
      </c>
      <c r="G138" s="301">
        <f t="shared" si="53"/>
        <v>0</v>
      </c>
      <c r="H138" s="300">
        <f t="shared" si="53"/>
        <v>0</v>
      </c>
      <c r="I138" s="332" t="e">
        <f t="shared" si="53"/>
        <v>#DIV/0!</v>
      </c>
      <c r="J138" s="300">
        <f t="shared" si="53"/>
        <v>-158</v>
      </c>
      <c r="K138" s="332">
        <f t="shared" si="53"/>
        <v>0</v>
      </c>
      <c r="L138" s="300">
        <f t="shared" si="53"/>
        <v>0</v>
      </c>
      <c r="M138" s="300">
        <f t="shared" si="53"/>
        <v>0</v>
      </c>
      <c r="N138" s="300">
        <f t="shared" si="53"/>
        <v>0</v>
      </c>
      <c r="O138" s="300">
        <f t="shared" si="53"/>
        <v>153.3</v>
      </c>
      <c r="P138" s="300">
        <f t="shared" si="53"/>
        <v>4.699999999999989</v>
      </c>
      <c r="Q138" s="332">
        <f t="shared" si="53"/>
        <v>1.030658838878017</v>
      </c>
      <c r="R138" s="300">
        <f t="shared" si="53"/>
        <v>14.87</v>
      </c>
      <c r="S138" s="300">
        <f t="shared" si="53"/>
        <v>-14.87</v>
      </c>
      <c r="T138" s="332">
        <f t="shared" si="53"/>
        <v>0</v>
      </c>
      <c r="U138" s="300">
        <f t="shared" si="53"/>
        <v>0</v>
      </c>
      <c r="V138" s="300">
        <f t="shared" si="53"/>
        <v>0</v>
      </c>
      <c r="W138" s="300">
        <f t="shared" si="53"/>
        <v>0</v>
      </c>
      <c r="X138" s="315" t="e">
        <f t="shared" si="53"/>
        <v>#DIV/0!</v>
      </c>
      <c r="Y138" s="199">
        <f t="shared" si="51"/>
        <v>-1.030658838878017</v>
      </c>
    </row>
    <row r="139" spans="2:25" ht="30.75" hidden="1">
      <c r="B139" s="302" t="s">
        <v>34</v>
      </c>
      <c r="C139" s="303">
        <v>21080900</v>
      </c>
      <c r="D139" s="304">
        <f>D57</f>
        <v>13</v>
      </c>
      <c r="E139" s="304">
        <f aca="true" t="shared" si="54" ref="E139:X139">E57</f>
        <v>13</v>
      </c>
      <c r="F139" s="304">
        <f t="shared" si="54"/>
        <v>2</v>
      </c>
      <c r="G139" s="305">
        <f t="shared" si="54"/>
        <v>2.02</v>
      </c>
      <c r="H139" s="304">
        <f t="shared" si="54"/>
        <v>0.020000000000000018</v>
      </c>
      <c r="I139" s="333">
        <f t="shared" si="54"/>
        <v>1.01</v>
      </c>
      <c r="J139" s="304">
        <f t="shared" si="54"/>
        <v>-10.98</v>
      </c>
      <c r="K139" s="333">
        <f t="shared" si="54"/>
        <v>0.1553846153846154</v>
      </c>
      <c r="L139" s="304">
        <f t="shared" si="54"/>
        <v>0</v>
      </c>
      <c r="M139" s="304">
        <f t="shared" si="54"/>
        <v>0</v>
      </c>
      <c r="N139" s="304">
        <f t="shared" si="54"/>
        <v>0</v>
      </c>
      <c r="O139" s="304">
        <f t="shared" si="54"/>
        <v>12.95</v>
      </c>
      <c r="P139" s="304">
        <f t="shared" si="54"/>
        <v>0.05000000000000071</v>
      </c>
      <c r="Q139" s="333">
        <f t="shared" si="54"/>
        <v>1.0038610038610039</v>
      </c>
      <c r="R139" s="304">
        <f t="shared" si="54"/>
        <v>0</v>
      </c>
      <c r="S139" s="304">
        <f t="shared" si="54"/>
        <v>2.02</v>
      </c>
      <c r="T139" s="333">
        <f t="shared" si="54"/>
        <v>0</v>
      </c>
      <c r="U139" s="304">
        <f t="shared" si="54"/>
        <v>2</v>
      </c>
      <c r="V139" s="304">
        <f t="shared" si="54"/>
        <v>2.02</v>
      </c>
      <c r="W139" s="304">
        <f t="shared" si="54"/>
        <v>0.020000000000000018</v>
      </c>
      <c r="X139" s="335">
        <f t="shared" si="54"/>
        <v>1.01</v>
      </c>
      <c r="Y139" s="199">
        <f t="shared" si="51"/>
        <v>-1.0038610038610039</v>
      </c>
    </row>
    <row r="140" spans="2:25" ht="15" hidden="1">
      <c r="B140" s="297" t="s">
        <v>16</v>
      </c>
      <c r="C140" s="294">
        <v>21081100</v>
      </c>
      <c r="D140" s="295">
        <f>D58</f>
        <v>744</v>
      </c>
      <c r="E140" s="295">
        <f aca="true" t="shared" si="55" ref="E140:X140">E58</f>
        <v>744</v>
      </c>
      <c r="F140" s="295">
        <f t="shared" si="55"/>
        <v>28.43</v>
      </c>
      <c r="G140" s="296">
        <f t="shared" si="55"/>
        <v>28.43</v>
      </c>
      <c r="H140" s="295">
        <f t="shared" si="55"/>
        <v>0</v>
      </c>
      <c r="I140" s="315">
        <f t="shared" si="55"/>
        <v>1</v>
      </c>
      <c r="J140" s="295">
        <f t="shared" si="55"/>
        <v>-715.57</v>
      </c>
      <c r="K140" s="315">
        <f t="shared" si="55"/>
        <v>0.03821236559139785</v>
      </c>
      <c r="L140" s="295">
        <f t="shared" si="55"/>
        <v>0</v>
      </c>
      <c r="M140" s="295">
        <f t="shared" si="55"/>
        <v>0</v>
      </c>
      <c r="N140" s="295">
        <f t="shared" si="55"/>
        <v>0</v>
      </c>
      <c r="O140" s="295">
        <f t="shared" si="55"/>
        <v>705.31</v>
      </c>
      <c r="P140" s="295">
        <f t="shared" si="55"/>
        <v>38.690000000000055</v>
      </c>
      <c r="Q140" s="315">
        <f t="shared" si="55"/>
        <v>1.0548553118486907</v>
      </c>
      <c r="R140" s="295">
        <f t="shared" si="55"/>
        <v>11.17</v>
      </c>
      <c r="S140" s="295">
        <f t="shared" si="55"/>
        <v>17.259999999999998</v>
      </c>
      <c r="T140" s="315">
        <f t="shared" si="55"/>
        <v>2.5452103849597134</v>
      </c>
      <c r="U140" s="295">
        <f t="shared" si="55"/>
        <v>28.43</v>
      </c>
      <c r="V140" s="295">
        <f t="shared" si="55"/>
        <v>28.43</v>
      </c>
      <c r="W140" s="295">
        <f t="shared" si="55"/>
        <v>0</v>
      </c>
      <c r="X140" s="315">
        <f t="shared" si="55"/>
        <v>1</v>
      </c>
      <c r="Y140" s="199">
        <f t="shared" si="51"/>
        <v>1.4903550731110227</v>
      </c>
    </row>
    <row r="141" spans="2:25" ht="46.5" hidden="1">
      <c r="B141" s="297" t="s">
        <v>67</v>
      </c>
      <c r="C141" s="294">
        <v>21081500</v>
      </c>
      <c r="D141" s="295">
        <f>D59</f>
        <v>115.5</v>
      </c>
      <c r="E141" s="295">
        <f aca="true" t="shared" si="56" ref="E141:X141">E59</f>
        <v>115.5</v>
      </c>
      <c r="F141" s="295">
        <f t="shared" si="56"/>
        <v>0</v>
      </c>
      <c r="G141" s="296">
        <f t="shared" si="56"/>
        <v>-6.55</v>
      </c>
      <c r="H141" s="295">
        <f t="shared" si="56"/>
        <v>-6.55</v>
      </c>
      <c r="I141" s="315" t="e">
        <f t="shared" si="56"/>
        <v>#DIV/0!</v>
      </c>
      <c r="J141" s="295">
        <f t="shared" si="56"/>
        <v>-122.05</v>
      </c>
      <c r="K141" s="315">
        <f t="shared" si="56"/>
        <v>-0.05670995670995671</v>
      </c>
      <c r="L141" s="295">
        <f t="shared" si="56"/>
        <v>0</v>
      </c>
      <c r="M141" s="295">
        <f t="shared" si="56"/>
        <v>0</v>
      </c>
      <c r="N141" s="295">
        <f t="shared" si="56"/>
        <v>0</v>
      </c>
      <c r="O141" s="295">
        <f t="shared" si="56"/>
        <v>114.3</v>
      </c>
      <c r="P141" s="295">
        <f t="shared" si="56"/>
        <v>1.2000000000000028</v>
      </c>
      <c r="Q141" s="315">
        <f t="shared" si="56"/>
        <v>1.010498687664042</v>
      </c>
      <c r="R141" s="295">
        <f t="shared" si="56"/>
        <v>0</v>
      </c>
      <c r="S141" s="295">
        <f t="shared" si="56"/>
        <v>-6.55</v>
      </c>
      <c r="T141" s="315" t="e">
        <f t="shared" si="56"/>
        <v>#DIV/0!</v>
      </c>
      <c r="U141" s="295">
        <f t="shared" si="56"/>
        <v>0</v>
      </c>
      <c r="V141" s="295">
        <f t="shared" si="56"/>
        <v>-6.55</v>
      </c>
      <c r="W141" s="295">
        <f t="shared" si="56"/>
        <v>-6.55</v>
      </c>
      <c r="X141" s="315" t="e">
        <f t="shared" si="56"/>
        <v>#DIV/0!</v>
      </c>
      <c r="Y141" s="199" t="e">
        <f t="shared" si="51"/>
        <v>#DIV/0!</v>
      </c>
    </row>
    <row r="142" spans="2:25" ht="46.5" hidden="1">
      <c r="B142" s="297" t="s">
        <v>17</v>
      </c>
      <c r="C142" s="294" t="s">
        <v>18</v>
      </c>
      <c r="D142" s="295">
        <f>D71</f>
        <v>3</v>
      </c>
      <c r="E142" s="295">
        <f aca="true" t="shared" si="57" ref="E142:X142">E71</f>
        <v>3</v>
      </c>
      <c r="F142" s="295">
        <f t="shared" si="57"/>
        <v>0</v>
      </c>
      <c r="G142" s="296">
        <f t="shared" si="57"/>
        <v>0</v>
      </c>
      <c r="H142" s="295">
        <f t="shared" si="57"/>
        <v>0</v>
      </c>
      <c r="I142" s="315" t="e">
        <f t="shared" si="57"/>
        <v>#DIV/0!</v>
      </c>
      <c r="J142" s="295">
        <f t="shared" si="57"/>
        <v>-3</v>
      </c>
      <c r="K142" s="315">
        <f t="shared" si="57"/>
        <v>0</v>
      </c>
      <c r="L142" s="295">
        <f t="shared" si="57"/>
        <v>0</v>
      </c>
      <c r="M142" s="295">
        <f t="shared" si="57"/>
        <v>0</v>
      </c>
      <c r="N142" s="295">
        <f t="shared" si="57"/>
        <v>0</v>
      </c>
      <c r="O142" s="295">
        <f t="shared" si="57"/>
        <v>2.04</v>
      </c>
      <c r="P142" s="295">
        <f t="shared" si="57"/>
        <v>0.96</v>
      </c>
      <c r="Q142" s="315">
        <f t="shared" si="57"/>
        <v>1.4705882352941175</v>
      </c>
      <c r="R142" s="295">
        <f t="shared" si="57"/>
        <v>1.67</v>
      </c>
      <c r="S142" s="295">
        <f t="shared" si="57"/>
        <v>-1.67</v>
      </c>
      <c r="T142" s="315">
        <f t="shared" si="57"/>
        <v>0</v>
      </c>
      <c r="U142" s="295">
        <f t="shared" si="57"/>
        <v>0</v>
      </c>
      <c r="V142" s="295">
        <f t="shared" si="57"/>
        <v>0</v>
      </c>
      <c r="W142" s="295">
        <f t="shared" si="57"/>
        <v>0</v>
      </c>
      <c r="X142" s="315">
        <f t="shared" si="57"/>
        <v>0</v>
      </c>
      <c r="Y142" s="199">
        <f t="shared" si="51"/>
        <v>-1.4705882352941175</v>
      </c>
    </row>
    <row r="143" spans="2:25" ht="30.75" hidden="1">
      <c r="B143" s="306" t="s">
        <v>39</v>
      </c>
      <c r="C143" s="294">
        <v>31010200</v>
      </c>
      <c r="D143" s="307">
        <f>D77</f>
        <v>35</v>
      </c>
      <c r="E143" s="307">
        <f aca="true" t="shared" si="58" ref="E143:X143">E77</f>
        <v>35</v>
      </c>
      <c r="F143" s="307">
        <f t="shared" si="58"/>
        <v>3.77</v>
      </c>
      <c r="G143" s="308">
        <f t="shared" si="58"/>
        <v>3.77</v>
      </c>
      <c r="H143" s="307">
        <f t="shared" si="58"/>
        <v>0</v>
      </c>
      <c r="I143" s="334">
        <f t="shared" si="58"/>
        <v>1</v>
      </c>
      <c r="J143" s="307">
        <f t="shared" si="58"/>
        <v>-31.23</v>
      </c>
      <c r="K143" s="334">
        <f t="shared" si="58"/>
        <v>0.10771428571428572</v>
      </c>
      <c r="L143" s="307">
        <f t="shared" si="58"/>
        <v>0</v>
      </c>
      <c r="M143" s="307">
        <f t="shared" si="58"/>
        <v>0</v>
      </c>
      <c r="N143" s="307">
        <f t="shared" si="58"/>
        <v>0</v>
      </c>
      <c r="O143" s="307">
        <f t="shared" si="58"/>
        <v>34.22</v>
      </c>
      <c r="P143" s="307">
        <f t="shared" si="58"/>
        <v>0.7800000000000011</v>
      </c>
      <c r="Q143" s="334">
        <f t="shared" si="58"/>
        <v>1.0227936879018118</v>
      </c>
      <c r="R143" s="307">
        <f t="shared" si="58"/>
        <v>1.49</v>
      </c>
      <c r="S143" s="307">
        <f t="shared" si="58"/>
        <v>2.2800000000000002</v>
      </c>
      <c r="T143" s="334">
        <f t="shared" si="58"/>
        <v>2.530201342281879</v>
      </c>
      <c r="U143" s="307">
        <f t="shared" si="58"/>
        <v>3.77</v>
      </c>
      <c r="V143" s="307">
        <f t="shared" si="58"/>
        <v>3.77</v>
      </c>
      <c r="W143" s="307">
        <f t="shared" si="58"/>
        <v>0</v>
      </c>
      <c r="X143" s="334">
        <f t="shared" si="58"/>
        <v>1</v>
      </c>
      <c r="Y143" s="199">
        <f t="shared" si="51"/>
        <v>1.5074076543800674</v>
      </c>
    </row>
    <row r="144" spans="2:25" ht="30.75" hidden="1">
      <c r="B144" s="306" t="s">
        <v>49</v>
      </c>
      <c r="C144" s="294">
        <v>31020000</v>
      </c>
      <c r="D144" s="307">
        <f>D78</f>
        <v>0</v>
      </c>
      <c r="E144" s="307">
        <f aca="true" t="shared" si="59" ref="E144:X144">E78</f>
        <v>0</v>
      </c>
      <c r="F144" s="307">
        <f t="shared" si="59"/>
        <v>0</v>
      </c>
      <c r="G144" s="308">
        <f t="shared" si="59"/>
        <v>0</v>
      </c>
      <c r="H144" s="307">
        <f t="shared" si="59"/>
        <v>0</v>
      </c>
      <c r="I144" s="334" t="e">
        <f t="shared" si="59"/>
        <v>#DIV/0!</v>
      </c>
      <c r="J144" s="307">
        <f t="shared" si="59"/>
        <v>0</v>
      </c>
      <c r="K144" s="334">
        <f t="shared" si="59"/>
        <v>0</v>
      </c>
      <c r="L144" s="307">
        <f t="shared" si="59"/>
        <v>0</v>
      </c>
      <c r="M144" s="307">
        <f t="shared" si="59"/>
        <v>0</v>
      </c>
      <c r="N144" s="307">
        <f t="shared" si="59"/>
        <v>0</v>
      </c>
      <c r="O144" s="307">
        <f t="shared" si="59"/>
        <v>-4.86</v>
      </c>
      <c r="P144" s="307">
        <f t="shared" si="59"/>
        <v>4.86</v>
      </c>
      <c r="Q144" s="334">
        <f t="shared" si="59"/>
        <v>0</v>
      </c>
      <c r="R144" s="307">
        <f t="shared" si="59"/>
        <v>0</v>
      </c>
      <c r="S144" s="307">
        <f t="shared" si="59"/>
        <v>0</v>
      </c>
      <c r="T144" s="334" t="e">
        <f t="shared" si="59"/>
        <v>#DIV/0!</v>
      </c>
      <c r="U144" s="307">
        <f t="shared" si="59"/>
        <v>0</v>
      </c>
      <c r="V144" s="307">
        <f t="shared" si="59"/>
        <v>0</v>
      </c>
      <c r="W144" s="307">
        <f t="shared" si="59"/>
        <v>0</v>
      </c>
      <c r="X144" s="334">
        <f t="shared" si="59"/>
        <v>0</v>
      </c>
      <c r="Y144" s="199" t="e">
        <f t="shared" si="51"/>
        <v>#DIV/0!</v>
      </c>
    </row>
    <row r="145" spans="4:25" ht="15" hidden="1">
      <c r="D145" s="311">
        <f>SUM(D136:D144)</f>
        <v>1304.1</v>
      </c>
      <c r="E145" s="311">
        <f>SUM(E136:E144)</f>
        <v>1304.1</v>
      </c>
      <c r="F145" s="311">
        <f>SUM(F136:F144)</f>
        <v>34.2</v>
      </c>
      <c r="G145" s="351">
        <f>SUM(G136:G144)</f>
        <v>27.669999999999998</v>
      </c>
      <c r="H145" s="311">
        <f>SUM(H136:H144)</f>
        <v>-6.529999999999999</v>
      </c>
      <c r="I145" s="189">
        <f>G145/F145</f>
        <v>0.80906432748538</v>
      </c>
      <c r="J145" s="311">
        <f aca="true" t="shared" si="60" ref="J145:P145">SUM(J136:J144)</f>
        <v>-1276.43</v>
      </c>
      <c r="K145" s="189">
        <f t="shared" si="60"/>
        <v>0.24460130998034224</v>
      </c>
      <c r="L145" s="311">
        <f t="shared" si="60"/>
        <v>0</v>
      </c>
      <c r="M145" s="311">
        <f t="shared" si="60"/>
        <v>0</v>
      </c>
      <c r="N145" s="311">
        <f t="shared" si="60"/>
        <v>0</v>
      </c>
      <c r="O145" s="311">
        <f t="shared" si="60"/>
        <v>1238.34</v>
      </c>
      <c r="P145" s="311">
        <f t="shared" si="60"/>
        <v>65.76000000000005</v>
      </c>
      <c r="Q145" s="189">
        <f>E145/O145</f>
        <v>1.053103348030428</v>
      </c>
      <c r="R145" s="311">
        <f>SUM(R136:R144)</f>
        <v>29.2</v>
      </c>
      <c r="S145" s="311">
        <f>SUM(S136:S144)</f>
        <v>-1.5300000000000011</v>
      </c>
      <c r="T145" s="189">
        <f>G145/R145</f>
        <v>0.9476027397260274</v>
      </c>
      <c r="U145" s="311">
        <f>SUM(U136:U144)</f>
        <v>34.2</v>
      </c>
      <c r="V145" s="311">
        <f>SUM(V136:V144)</f>
        <v>27.669999999999998</v>
      </c>
      <c r="W145" s="311">
        <f>SUM(W136:W144)</f>
        <v>-6.529999999999999</v>
      </c>
      <c r="X145" s="189">
        <f>V145/U145</f>
        <v>0.80906432748538</v>
      </c>
      <c r="Y145" s="199">
        <f t="shared" si="51"/>
        <v>-0.10550060830440056</v>
      </c>
    </row>
    <row r="146" spans="4:25" ht="15" hidden="1">
      <c r="D146" s="4"/>
      <c r="F146" s="78"/>
      <c r="G146" s="4"/>
      <c r="Y146" s="199">
        <f t="shared" si="51"/>
        <v>0</v>
      </c>
    </row>
    <row r="147" spans="2:25" ht="15" hidden="1">
      <c r="B147" s="312" t="s">
        <v>158</v>
      </c>
      <c r="D147" s="4"/>
      <c r="F147" s="78"/>
      <c r="G147" s="4"/>
      <c r="Y147" s="199">
        <f t="shared" si="51"/>
        <v>0</v>
      </c>
    </row>
    <row r="148" spans="2:25" ht="30.75" hidden="1">
      <c r="B148" s="313" t="s">
        <v>89</v>
      </c>
      <c r="C148" s="314">
        <v>22010300</v>
      </c>
      <c r="D148" s="295">
        <f>D60</f>
        <v>1284</v>
      </c>
      <c r="E148" s="295">
        <f aca="true" t="shared" si="61" ref="E148:X148">E60</f>
        <v>1284</v>
      </c>
      <c r="F148" s="295">
        <f t="shared" si="61"/>
        <v>89.19</v>
      </c>
      <c r="G148" s="295">
        <f t="shared" si="61"/>
        <v>89.19</v>
      </c>
      <c r="H148" s="295">
        <f t="shared" si="61"/>
        <v>0</v>
      </c>
      <c r="I148" s="315">
        <f t="shared" si="61"/>
        <v>1</v>
      </c>
      <c r="J148" s="295">
        <f t="shared" si="61"/>
        <v>-1194.81</v>
      </c>
      <c r="K148" s="315">
        <f t="shared" si="61"/>
        <v>0.0694626168224299</v>
      </c>
      <c r="L148" s="295">
        <f t="shared" si="61"/>
        <v>0</v>
      </c>
      <c r="M148" s="295">
        <f t="shared" si="61"/>
        <v>0</v>
      </c>
      <c r="N148" s="295">
        <f t="shared" si="61"/>
        <v>0</v>
      </c>
      <c r="O148" s="295">
        <f t="shared" si="61"/>
        <v>1205.14</v>
      </c>
      <c r="P148" s="295">
        <f t="shared" si="61"/>
        <v>78.8599999999999</v>
      </c>
      <c r="Q148" s="315">
        <f t="shared" si="61"/>
        <v>1.0654363808354215</v>
      </c>
      <c r="R148" s="295">
        <f t="shared" si="61"/>
        <v>89.45</v>
      </c>
      <c r="S148" s="295">
        <f t="shared" si="61"/>
        <v>-0.2600000000000051</v>
      </c>
      <c r="T148" s="315">
        <f t="shared" si="61"/>
        <v>0.9970933482392398</v>
      </c>
      <c r="U148" s="295">
        <f t="shared" si="61"/>
        <v>89.19</v>
      </c>
      <c r="V148" s="295">
        <f t="shared" si="61"/>
        <v>89.19</v>
      </c>
      <c r="W148" s="295">
        <f t="shared" si="61"/>
        <v>0</v>
      </c>
      <c r="X148" s="315">
        <f t="shared" si="61"/>
        <v>1</v>
      </c>
      <c r="Y148" s="199">
        <f t="shared" si="51"/>
        <v>-0.06834303259618169</v>
      </c>
    </row>
    <row r="149" spans="2:25" ht="15" hidden="1">
      <c r="B149" s="313" t="s">
        <v>106</v>
      </c>
      <c r="C149" s="314">
        <v>22010200</v>
      </c>
      <c r="D149" s="295">
        <f>D61</f>
        <v>0</v>
      </c>
      <c r="E149" s="295">
        <f aca="true" t="shared" si="62" ref="E149:X149">E61</f>
        <v>0</v>
      </c>
      <c r="F149" s="295">
        <f t="shared" si="62"/>
        <v>0</v>
      </c>
      <c r="G149" s="295">
        <f t="shared" si="62"/>
        <v>0</v>
      </c>
      <c r="H149" s="295">
        <f t="shared" si="62"/>
        <v>0</v>
      </c>
      <c r="I149" s="315" t="e">
        <f t="shared" si="62"/>
        <v>#DIV/0!</v>
      </c>
      <c r="J149" s="295">
        <f t="shared" si="62"/>
        <v>0</v>
      </c>
      <c r="K149" s="315" t="e">
        <f t="shared" si="62"/>
        <v>#DIV/0!</v>
      </c>
      <c r="L149" s="295">
        <f t="shared" si="62"/>
        <v>0</v>
      </c>
      <c r="M149" s="295">
        <f t="shared" si="62"/>
        <v>0</v>
      </c>
      <c r="N149" s="295">
        <f t="shared" si="62"/>
        <v>0</v>
      </c>
      <c r="O149" s="295">
        <f t="shared" si="62"/>
        <v>23.38</v>
      </c>
      <c r="P149" s="295">
        <f t="shared" si="62"/>
        <v>-23.38</v>
      </c>
      <c r="Q149" s="315">
        <f t="shared" si="62"/>
        <v>0</v>
      </c>
      <c r="R149" s="295">
        <f t="shared" si="62"/>
        <v>0</v>
      </c>
      <c r="S149" s="295">
        <f t="shared" si="62"/>
        <v>0</v>
      </c>
      <c r="T149" s="315">
        <f t="shared" si="62"/>
        <v>0</v>
      </c>
      <c r="U149" s="295">
        <f t="shared" si="62"/>
        <v>0</v>
      </c>
      <c r="V149" s="295">
        <f t="shared" si="62"/>
        <v>0</v>
      </c>
      <c r="W149" s="295">
        <f t="shared" si="62"/>
        <v>0</v>
      </c>
      <c r="X149" s="315" t="e">
        <f t="shared" si="62"/>
        <v>#DIV/0!</v>
      </c>
      <c r="Y149" s="199">
        <f t="shared" si="51"/>
        <v>0</v>
      </c>
    </row>
    <row r="150" spans="2:25" ht="15" hidden="1">
      <c r="B150" s="316" t="s">
        <v>65</v>
      </c>
      <c r="C150" s="317">
        <v>22012500</v>
      </c>
      <c r="D150" s="318">
        <f>D62</f>
        <v>21260</v>
      </c>
      <c r="E150" s="318">
        <f aca="true" t="shared" si="63" ref="E150:X150">E62</f>
        <v>21260</v>
      </c>
      <c r="F150" s="318">
        <f t="shared" si="63"/>
        <v>1890</v>
      </c>
      <c r="G150" s="318">
        <f t="shared" si="63"/>
        <v>1894.1</v>
      </c>
      <c r="H150" s="318">
        <f t="shared" si="63"/>
        <v>4.099999999999909</v>
      </c>
      <c r="I150" s="319">
        <f t="shared" si="63"/>
        <v>1.002169312169312</v>
      </c>
      <c r="J150" s="318">
        <f t="shared" si="63"/>
        <v>-19365.9</v>
      </c>
      <c r="K150" s="319">
        <f t="shared" si="63"/>
        <v>0.08909219190968955</v>
      </c>
      <c r="L150" s="318">
        <f t="shared" si="63"/>
        <v>0</v>
      </c>
      <c r="M150" s="318">
        <f t="shared" si="63"/>
        <v>0</v>
      </c>
      <c r="N150" s="318">
        <f t="shared" si="63"/>
        <v>0</v>
      </c>
      <c r="O150" s="318">
        <f t="shared" si="63"/>
        <v>20110.14</v>
      </c>
      <c r="P150" s="318">
        <f t="shared" si="63"/>
        <v>1149.8600000000006</v>
      </c>
      <c r="Q150" s="319">
        <f t="shared" si="63"/>
        <v>1.0571781200926498</v>
      </c>
      <c r="R150" s="318">
        <f t="shared" si="63"/>
        <v>1052.56</v>
      </c>
      <c r="S150" s="318">
        <f t="shared" si="63"/>
        <v>841.54</v>
      </c>
      <c r="T150" s="319">
        <f t="shared" si="63"/>
        <v>1.7995173671809683</v>
      </c>
      <c r="U150" s="318">
        <f t="shared" si="63"/>
        <v>1890</v>
      </c>
      <c r="V150" s="318">
        <f t="shared" si="63"/>
        <v>1894.1</v>
      </c>
      <c r="W150" s="318">
        <f t="shared" si="63"/>
        <v>4.099999999999909</v>
      </c>
      <c r="X150" s="319">
        <f t="shared" si="63"/>
        <v>1.002169312169312</v>
      </c>
      <c r="Y150" s="199">
        <f t="shared" si="51"/>
        <v>0.7423392470883186</v>
      </c>
    </row>
    <row r="151" spans="2:25" ht="30.75" hidden="1">
      <c r="B151" s="316" t="s">
        <v>86</v>
      </c>
      <c r="C151" s="317">
        <v>22012600</v>
      </c>
      <c r="D151" s="318">
        <f>D63</f>
        <v>767</v>
      </c>
      <c r="E151" s="318">
        <f aca="true" t="shared" si="64" ref="E151:X151">E63</f>
        <v>767</v>
      </c>
      <c r="F151" s="318">
        <f t="shared" si="64"/>
        <v>57</v>
      </c>
      <c r="G151" s="318">
        <f t="shared" si="64"/>
        <v>59.37</v>
      </c>
      <c r="H151" s="318">
        <f t="shared" si="64"/>
        <v>2.3699999999999974</v>
      </c>
      <c r="I151" s="319">
        <f t="shared" si="64"/>
        <v>1.041578947368421</v>
      </c>
      <c r="J151" s="318">
        <f t="shared" si="64"/>
        <v>-707.63</v>
      </c>
      <c r="K151" s="319">
        <f t="shared" si="64"/>
        <v>0.07740547588005214</v>
      </c>
      <c r="L151" s="318">
        <f t="shared" si="64"/>
        <v>0</v>
      </c>
      <c r="M151" s="318">
        <f t="shared" si="64"/>
        <v>0</v>
      </c>
      <c r="N151" s="318">
        <f t="shared" si="64"/>
        <v>0</v>
      </c>
      <c r="O151" s="318">
        <f t="shared" si="64"/>
        <v>710.04</v>
      </c>
      <c r="P151" s="318">
        <f t="shared" si="64"/>
        <v>56.960000000000036</v>
      </c>
      <c r="Q151" s="319">
        <f t="shared" si="64"/>
        <v>1.0802208326291478</v>
      </c>
      <c r="R151" s="318">
        <f t="shared" si="64"/>
        <v>44.53</v>
      </c>
      <c r="S151" s="318">
        <f t="shared" si="64"/>
        <v>14.839999999999996</v>
      </c>
      <c r="T151" s="319">
        <f t="shared" si="64"/>
        <v>1.3332584774309453</v>
      </c>
      <c r="U151" s="318">
        <f t="shared" si="64"/>
        <v>57</v>
      </c>
      <c r="V151" s="318">
        <f t="shared" si="64"/>
        <v>59.37</v>
      </c>
      <c r="W151" s="318">
        <f t="shared" si="64"/>
        <v>2.3699999999999974</v>
      </c>
      <c r="X151" s="319">
        <f t="shared" si="64"/>
        <v>1.041578947368421</v>
      </c>
      <c r="Y151" s="199">
        <f t="shared" si="51"/>
        <v>0.25303764480179747</v>
      </c>
    </row>
    <row r="152" spans="2:25" ht="30.75" hidden="1">
      <c r="B152" s="316" t="s">
        <v>90</v>
      </c>
      <c r="C152" s="317">
        <v>22012900</v>
      </c>
      <c r="D152" s="318">
        <f>D64</f>
        <v>44</v>
      </c>
      <c r="E152" s="318">
        <f aca="true" t="shared" si="65" ref="E152:X152">E64</f>
        <v>44</v>
      </c>
      <c r="F152" s="318">
        <f t="shared" si="65"/>
        <v>1</v>
      </c>
      <c r="G152" s="318">
        <f t="shared" si="65"/>
        <v>1.06</v>
      </c>
      <c r="H152" s="318">
        <f t="shared" si="65"/>
        <v>0.06000000000000005</v>
      </c>
      <c r="I152" s="319">
        <f t="shared" si="65"/>
        <v>1.06</v>
      </c>
      <c r="J152" s="318">
        <f t="shared" si="65"/>
        <v>-42.94</v>
      </c>
      <c r="K152" s="319">
        <f t="shared" si="65"/>
        <v>0.024090909090909093</v>
      </c>
      <c r="L152" s="318">
        <f t="shared" si="65"/>
        <v>0</v>
      </c>
      <c r="M152" s="318">
        <f t="shared" si="65"/>
        <v>0</v>
      </c>
      <c r="N152" s="318">
        <f t="shared" si="65"/>
        <v>0</v>
      </c>
      <c r="O152" s="318">
        <f t="shared" si="65"/>
        <v>41.44</v>
      </c>
      <c r="P152" s="318">
        <f t="shared" si="65"/>
        <v>2.5600000000000023</v>
      </c>
      <c r="Q152" s="319">
        <f t="shared" si="65"/>
        <v>1.0617760617760619</v>
      </c>
      <c r="R152" s="318">
        <f t="shared" si="65"/>
        <v>0</v>
      </c>
      <c r="S152" s="318">
        <f t="shared" si="65"/>
        <v>1.06</v>
      </c>
      <c r="T152" s="319" t="e">
        <f t="shared" si="65"/>
        <v>#DIV/0!</v>
      </c>
      <c r="U152" s="318">
        <f t="shared" si="65"/>
        <v>1</v>
      </c>
      <c r="V152" s="318">
        <f t="shared" si="65"/>
        <v>1.06</v>
      </c>
      <c r="W152" s="318">
        <f t="shared" si="65"/>
        <v>0.06000000000000005</v>
      </c>
      <c r="X152" s="319">
        <f t="shared" si="65"/>
        <v>1.06</v>
      </c>
      <c r="Y152" s="199" t="e">
        <f t="shared" si="51"/>
        <v>#DIV/0!</v>
      </c>
    </row>
    <row r="153" spans="2:25" ht="15" hidden="1">
      <c r="B153" s="312" t="s">
        <v>158</v>
      </c>
      <c r="C153" s="320">
        <v>22010000</v>
      </c>
      <c r="D153" s="311">
        <f>SUM(D148:D152)</f>
        <v>23355</v>
      </c>
      <c r="E153" s="311">
        <f aca="true" t="shared" si="66" ref="E153:W153">SUM(E148:E152)</f>
        <v>23355</v>
      </c>
      <c r="F153" s="311">
        <f t="shared" si="66"/>
        <v>2037.19</v>
      </c>
      <c r="G153" s="311">
        <f t="shared" si="66"/>
        <v>2043.7199999999998</v>
      </c>
      <c r="H153" s="311">
        <f t="shared" si="66"/>
        <v>6.529999999999907</v>
      </c>
      <c r="I153" s="189">
        <f>G153/F153</f>
        <v>1.0032053956675615</v>
      </c>
      <c r="J153" s="311">
        <f t="shared" si="66"/>
        <v>-21311.280000000002</v>
      </c>
      <c r="K153" s="189">
        <f>G153/E153</f>
        <v>0.0875067437379576</v>
      </c>
      <c r="L153" s="311">
        <f t="shared" si="66"/>
        <v>0</v>
      </c>
      <c r="M153" s="311">
        <f t="shared" si="66"/>
        <v>0</v>
      </c>
      <c r="N153" s="311">
        <f t="shared" si="66"/>
        <v>0</v>
      </c>
      <c r="O153" s="311">
        <f t="shared" si="66"/>
        <v>22090.14</v>
      </c>
      <c r="P153" s="311">
        <f t="shared" si="66"/>
        <v>1264.8600000000006</v>
      </c>
      <c r="Q153" s="189">
        <f>E153/O153</f>
        <v>1.0572590304995804</v>
      </c>
      <c r="R153" s="311">
        <f t="shared" si="66"/>
        <v>1186.54</v>
      </c>
      <c r="S153" s="311">
        <f t="shared" si="66"/>
        <v>857.18</v>
      </c>
      <c r="T153" s="189">
        <f>G153/R153</f>
        <v>1.7224198088560014</v>
      </c>
      <c r="U153" s="311">
        <f t="shared" si="66"/>
        <v>2037.19</v>
      </c>
      <c r="V153" s="311">
        <f t="shared" si="66"/>
        <v>2043.7199999999998</v>
      </c>
      <c r="W153" s="311">
        <f t="shared" si="66"/>
        <v>6.529999999999907</v>
      </c>
      <c r="X153" s="189">
        <f>V153/U153</f>
        <v>1.0032053956675615</v>
      </c>
      <c r="Y153" s="199">
        <f t="shared" si="51"/>
        <v>0.6651607783564211</v>
      </c>
    </row>
    <row r="154" spans="4:25" ht="15" hidden="1">
      <c r="D154" s="4"/>
      <c r="F154" s="78"/>
      <c r="G154" s="4"/>
      <c r="Y154" s="199"/>
    </row>
    <row r="155" spans="4:25" ht="15" hidden="1">
      <c r="D155" s="4"/>
      <c r="F155" s="78"/>
      <c r="G155" s="4"/>
      <c r="Y155" s="199"/>
    </row>
    <row r="156" spans="2:25" ht="15" hidden="1">
      <c r="B156" s="312" t="s">
        <v>159</v>
      </c>
      <c r="D156" s="4"/>
      <c r="F156" s="78"/>
      <c r="G156" s="4"/>
      <c r="Y156" s="199"/>
    </row>
    <row r="157" spans="2:25" ht="15" hidden="1">
      <c r="B157" s="321" t="s">
        <v>13</v>
      </c>
      <c r="C157" s="294" t="s">
        <v>19</v>
      </c>
      <c r="D157" s="310">
        <f>D72</f>
        <v>8170</v>
      </c>
      <c r="E157" s="310">
        <f aca="true" t="shared" si="67" ref="E157:X157">E72</f>
        <v>8170</v>
      </c>
      <c r="F157" s="310">
        <f t="shared" si="67"/>
        <v>568.65</v>
      </c>
      <c r="G157" s="310">
        <f t="shared" si="67"/>
        <v>568.65</v>
      </c>
      <c r="H157" s="310">
        <f t="shared" si="67"/>
        <v>0</v>
      </c>
      <c r="I157" s="309">
        <f t="shared" si="67"/>
        <v>1</v>
      </c>
      <c r="J157" s="310">
        <f t="shared" si="67"/>
        <v>-7601.35</v>
      </c>
      <c r="K157" s="309">
        <f t="shared" si="67"/>
        <v>0.06960220318237453</v>
      </c>
      <c r="L157" s="310">
        <f t="shared" si="67"/>
        <v>0</v>
      </c>
      <c r="M157" s="310">
        <f t="shared" si="67"/>
        <v>0</v>
      </c>
      <c r="N157" s="310">
        <f t="shared" si="67"/>
        <v>0</v>
      </c>
      <c r="O157" s="310">
        <f t="shared" si="67"/>
        <v>8086.92</v>
      </c>
      <c r="P157" s="310">
        <f t="shared" si="67"/>
        <v>83.07999999999993</v>
      </c>
      <c r="Q157" s="309">
        <f t="shared" si="67"/>
        <v>1.0102733797292418</v>
      </c>
      <c r="R157" s="310">
        <f t="shared" si="67"/>
        <v>2247.33</v>
      </c>
      <c r="S157" s="310">
        <f t="shared" si="67"/>
        <v>-1678.6799999999998</v>
      </c>
      <c r="T157" s="309">
        <f t="shared" si="67"/>
        <v>0.2530335998718479</v>
      </c>
      <c r="U157" s="310">
        <f t="shared" si="67"/>
        <v>568.65</v>
      </c>
      <c r="V157" s="310">
        <f t="shared" si="67"/>
        <v>568.65</v>
      </c>
      <c r="W157" s="310">
        <f t="shared" si="67"/>
        <v>0</v>
      </c>
      <c r="X157" s="309">
        <f t="shared" si="67"/>
        <v>1</v>
      </c>
      <c r="Y157" s="199">
        <f t="shared" si="51"/>
        <v>-0.7572397798573939</v>
      </c>
    </row>
    <row r="158" spans="2:25" ht="46.5" hidden="1">
      <c r="B158" s="321" t="s">
        <v>38</v>
      </c>
      <c r="C158" s="294">
        <v>24061900</v>
      </c>
      <c r="D158" s="310">
        <f>D76</f>
        <v>174.4</v>
      </c>
      <c r="E158" s="310">
        <f aca="true" t="shared" si="68" ref="E158:X158">E76</f>
        <v>174.4</v>
      </c>
      <c r="F158" s="310">
        <f t="shared" si="68"/>
        <v>0</v>
      </c>
      <c r="G158" s="310">
        <f t="shared" si="68"/>
        <v>0</v>
      </c>
      <c r="H158" s="310">
        <f t="shared" si="68"/>
        <v>0</v>
      </c>
      <c r="I158" s="309" t="e">
        <f t="shared" si="68"/>
        <v>#DIV/0!</v>
      </c>
      <c r="J158" s="310">
        <f t="shared" si="68"/>
        <v>-174.4</v>
      </c>
      <c r="K158" s="309">
        <f t="shared" si="68"/>
        <v>0</v>
      </c>
      <c r="L158" s="310">
        <f t="shared" si="68"/>
        <v>0</v>
      </c>
      <c r="M158" s="310">
        <f t="shared" si="68"/>
        <v>0</v>
      </c>
      <c r="N158" s="310">
        <f t="shared" si="68"/>
        <v>0</v>
      </c>
      <c r="O158" s="310">
        <f t="shared" si="68"/>
        <v>142.18</v>
      </c>
      <c r="P158" s="310">
        <f t="shared" si="68"/>
        <v>32.22</v>
      </c>
      <c r="Q158" s="309">
        <f t="shared" si="68"/>
        <v>1.2266141510761006</v>
      </c>
      <c r="R158" s="310">
        <f t="shared" si="68"/>
        <v>32.89</v>
      </c>
      <c r="S158" s="310">
        <f t="shared" si="68"/>
        <v>-32.89</v>
      </c>
      <c r="T158" s="309">
        <f t="shared" si="68"/>
        <v>0</v>
      </c>
      <c r="U158" s="310">
        <f t="shared" si="68"/>
        <v>0</v>
      </c>
      <c r="V158" s="310">
        <f t="shared" si="68"/>
        <v>0</v>
      </c>
      <c r="W158" s="310">
        <f t="shared" si="68"/>
        <v>0</v>
      </c>
      <c r="X158" s="309" t="e">
        <f t="shared" si="68"/>
        <v>#DIV/0!</v>
      </c>
      <c r="Y158" s="199">
        <f t="shared" si="51"/>
        <v>-1.2266141510761006</v>
      </c>
    </row>
    <row r="159" spans="2:25" ht="15" hidden="1">
      <c r="B159" s="312" t="s">
        <v>159</v>
      </c>
      <c r="C159" s="322">
        <v>24060000</v>
      </c>
      <c r="D159" s="311">
        <f>SUM(D157:D158)</f>
        <v>8344.4</v>
      </c>
      <c r="E159" s="311">
        <f aca="true" t="shared" si="69" ref="E159:W159">SUM(E157:E158)</f>
        <v>8344.4</v>
      </c>
      <c r="F159" s="311">
        <f t="shared" si="69"/>
        <v>568.65</v>
      </c>
      <c r="G159" s="311">
        <f t="shared" si="69"/>
        <v>568.65</v>
      </c>
      <c r="H159" s="311">
        <f t="shared" si="69"/>
        <v>0</v>
      </c>
      <c r="I159" s="189">
        <f>G159/F159</f>
        <v>1</v>
      </c>
      <c r="J159" s="311">
        <f t="shared" si="69"/>
        <v>-7775.75</v>
      </c>
      <c r="K159" s="189">
        <f>G159/E159</f>
        <v>0.06814750011984085</v>
      </c>
      <c r="L159" s="311">
        <f t="shared" si="69"/>
        <v>0</v>
      </c>
      <c r="M159" s="311">
        <f t="shared" si="69"/>
        <v>0</v>
      </c>
      <c r="N159" s="311">
        <f t="shared" si="69"/>
        <v>0</v>
      </c>
      <c r="O159" s="311">
        <f t="shared" si="69"/>
        <v>8229.1</v>
      </c>
      <c r="P159" s="311">
        <f t="shared" si="69"/>
        <v>115.29999999999993</v>
      </c>
      <c r="Q159" s="189">
        <f>E159/O159</f>
        <v>1.0140112527493892</v>
      </c>
      <c r="R159" s="311">
        <f t="shared" si="69"/>
        <v>2280.22</v>
      </c>
      <c r="S159" s="311">
        <f t="shared" si="69"/>
        <v>-1711.57</v>
      </c>
      <c r="T159" s="189">
        <f>G159/R159</f>
        <v>0.24938383138469097</v>
      </c>
      <c r="U159" s="311">
        <f t="shared" si="69"/>
        <v>568.65</v>
      </c>
      <c r="V159" s="311">
        <f t="shared" si="69"/>
        <v>568.65</v>
      </c>
      <c r="W159" s="311">
        <f t="shared" si="69"/>
        <v>0</v>
      </c>
      <c r="X159" s="189">
        <f>V159/U159</f>
        <v>1</v>
      </c>
      <c r="Y159" s="199">
        <f t="shared" si="51"/>
        <v>-0.7646274213646982</v>
      </c>
    </row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</sheetData>
  <sheetProtection/>
  <mergeCells count="28">
    <mergeCell ref="B109:C109"/>
    <mergeCell ref="G109:H109"/>
    <mergeCell ref="G110:H110"/>
    <mergeCell ref="V3:X3"/>
    <mergeCell ref="F4:F5"/>
    <mergeCell ref="G106:H106"/>
    <mergeCell ref="G107:H107"/>
    <mergeCell ref="G108:H108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D3:D5"/>
    <mergeCell ref="W4:W5"/>
    <mergeCell ref="X4:X5"/>
    <mergeCell ref="L5:N5"/>
    <mergeCell ref="O5:Q5"/>
    <mergeCell ref="R5:T5"/>
    <mergeCell ref="G4:G5"/>
    <mergeCell ref="H4:H5"/>
    <mergeCell ref="I4:I5"/>
    <mergeCell ref="J4:J5"/>
  </mergeCells>
  <printOptions/>
  <pageMargins left="0.7086614173228347" right="0" top="0.15748031496062992" bottom="0" header="0" footer="0"/>
  <pageSetup fitToHeight="1" fitToWidth="1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2018-04-18T09:47:35Z</cp:lastPrinted>
  <dcterms:created xsi:type="dcterms:W3CDTF">2003-07-28T11:27:56Z</dcterms:created>
  <dcterms:modified xsi:type="dcterms:W3CDTF">2018-04-18T11:33:30Z</dcterms:modified>
  <cp:category/>
  <cp:version/>
  <cp:contentType/>
  <cp:contentStatus/>
</cp:coreProperties>
</file>